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Default Extension="emf" ContentType="image/x-emf"/>
  <Override PartName="/xl/embeddings/oleObject3.bin" ContentType="application/vnd.openxmlformats-officedocument.oleObject"/>
  <Override PartName="/xl/embeddings/oleObject4.bin" ContentType="application/vnd.openxmlformats-officedocument.oleObject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" yWindow="-15" windowWidth="12660" windowHeight="11640"/>
  </bookViews>
  <sheets>
    <sheet name="Input &amp; output" sheetId="7" r:id="rId1"/>
    <sheet name="Profieleigenschappen" sheetId="1" r:id="rId2"/>
    <sheet name="Berekening" sheetId="8" r:id="rId3"/>
  </sheets>
  <definedNames>
    <definedName name="_xlnm.Print_Area" localSheetId="2">Berekening!$A$1:$V$141</definedName>
    <definedName name="_xlnm.Print_Area" localSheetId="0">'Input &amp; output'!$A$1:$N$53</definedName>
    <definedName name="_xlnm.Print_Area" localSheetId="1">Profieleigenschappen!$A$1:$Y$43</definedName>
    <definedName name="_xlnm.Print_Titles" localSheetId="2">Berekening!$1:$2</definedName>
    <definedName name="_xlnm.Print_Titles" localSheetId="0">'Input &amp; output'!$1:$1</definedName>
    <definedName name="_xlnm.Print_Titles" localSheetId="1">Profieleigenschappen!$1:$1</definedName>
    <definedName name="code">#REF!</definedName>
    <definedName name="code_2">#REF!</definedName>
    <definedName name="dfs" localSheetId="2">Berekening!#REF!</definedName>
    <definedName name="dfs" localSheetId="0">'Input &amp; output'!#REF!</definedName>
    <definedName name="dfs">Profieleigenschappen!#REF!</definedName>
    <definedName name="plaatje">#REF!</definedName>
    <definedName name="plaatjes_2">#REF!</definedName>
    <definedName name="zoek_figuur">OFFSET(#REF!,MATCH('Input &amp; output'!$G$10,code,0),0,1,1)</definedName>
    <definedName name="zoek_figuur2">OFFSET(#REF!,MATCH('Input &amp; output'!$G$10,code,0),0,1,1)</definedName>
  </definedNames>
  <calcPr calcId="125725"/>
</workbook>
</file>

<file path=xl/calcChain.xml><?xml version="1.0" encoding="utf-8"?>
<calcChain xmlns="http://schemas.openxmlformats.org/spreadsheetml/2006/main">
  <c r="G8" i="8"/>
  <c r="F15" i="7"/>
  <c r="H15" s="1"/>
  <c r="N15" s="1"/>
  <c r="B4" i="1"/>
  <c r="B6"/>
  <c r="B4" i="8"/>
  <c r="B6"/>
  <c r="F19" i="7"/>
  <c r="F20" s="1"/>
  <c r="H19" s="1"/>
  <c r="N19" s="1"/>
  <c r="G8" i="1"/>
  <c r="C14" s="1"/>
  <c r="G7"/>
  <c r="B7"/>
  <c r="G6"/>
  <c r="B9" i="8"/>
  <c r="B8"/>
  <c r="G7"/>
  <c r="B7"/>
  <c r="H88" s="1"/>
  <c r="G6"/>
  <c r="G5"/>
  <c r="D24" s="1"/>
  <c r="G4"/>
  <c r="G4" i="1"/>
  <c r="B28" s="1"/>
  <c r="G5"/>
  <c r="D28" s="1"/>
  <c r="B8"/>
  <c r="B9"/>
  <c r="F18" i="7"/>
  <c r="H18" s="1"/>
  <c r="N16" s="1"/>
  <c r="F16"/>
  <c r="H16" s="1"/>
  <c r="N17" s="1"/>
  <c r="F17"/>
  <c r="H17" s="1"/>
  <c r="N18" s="1"/>
  <c r="G22"/>
  <c r="E22"/>
  <c r="F24" i="8"/>
  <c r="D29" i="1" l="1"/>
  <c r="J6"/>
  <c r="B29"/>
  <c r="B38" s="1"/>
  <c r="C13"/>
  <c r="F25" i="8"/>
  <c r="H22" i="7"/>
  <c r="N23" s="1"/>
  <c r="A52" s="1"/>
  <c r="J4" i="1"/>
  <c r="B33" i="8"/>
  <c r="D25"/>
  <c r="J5" i="1"/>
  <c r="B15" i="8"/>
  <c r="B32"/>
  <c r="B5" i="1"/>
  <c r="B24" i="8"/>
  <c r="B25" s="1"/>
  <c r="H68"/>
  <c r="F28" i="1"/>
  <c r="F29" s="1"/>
  <c r="B5" i="8"/>
  <c r="I5" i="1"/>
  <c r="I6"/>
  <c r="E13"/>
  <c r="I4"/>
  <c r="B19"/>
  <c r="A43" l="1"/>
  <c r="A25"/>
  <c r="B17" i="8"/>
  <c r="F16"/>
  <c r="B35"/>
  <c r="B37" s="1"/>
  <c r="B16"/>
  <c r="D27" s="1"/>
  <c r="H85" s="1"/>
  <c r="D26"/>
  <c r="B18"/>
  <c r="E38" i="1"/>
  <c r="B39"/>
  <c r="B19" i="8"/>
  <c r="F26"/>
  <c r="B23" i="1"/>
  <c r="B21"/>
  <c r="B24" s="1"/>
  <c r="B20"/>
  <c r="B22"/>
  <c r="B30"/>
  <c r="F30"/>
  <c r="B36"/>
  <c r="B37" s="1"/>
  <c r="B40" s="1"/>
  <c r="B42" s="1"/>
  <c r="D30"/>
  <c r="B34" i="8"/>
  <c r="B26"/>
  <c r="E34"/>
  <c r="B36"/>
  <c r="B38" s="1"/>
  <c r="B20" l="1"/>
  <c r="E35" s="1"/>
  <c r="F27"/>
  <c r="H84" s="1"/>
  <c r="H86" s="1"/>
  <c r="H87" s="1"/>
  <c r="B27"/>
  <c r="H69"/>
  <c r="E36" i="1"/>
  <c r="E37" s="1"/>
  <c r="E39"/>
  <c r="B41"/>
  <c r="B31"/>
  <c r="D31"/>
  <c r="F31"/>
  <c r="E32" i="8" l="1"/>
  <c r="E33" s="1"/>
  <c r="G42" s="1"/>
  <c r="H89"/>
  <c r="H90" s="1"/>
  <c r="H91" s="1"/>
  <c r="E14" i="1"/>
  <c r="E41"/>
  <c r="B39" i="7"/>
  <c r="E40" i="1"/>
  <c r="E42" s="1"/>
  <c r="E36" i="8" l="1"/>
  <c r="E38" s="1"/>
  <c r="E37"/>
  <c r="H73"/>
  <c r="H92"/>
  <c r="H93" s="1"/>
  <c r="H94" s="1"/>
  <c r="H95" s="1"/>
  <c r="F13" i="1"/>
  <c r="A10" i="7"/>
  <c r="A9"/>
  <c r="H74" i="8"/>
  <c r="F43" i="7" s="1"/>
  <c r="B41"/>
  <c r="H75" i="8"/>
  <c r="F45" i="7" l="1"/>
  <c r="B42"/>
  <c r="H63" i="8"/>
  <c r="H65" l="1"/>
  <c r="H67" s="1"/>
  <c r="H70" s="1"/>
  <c r="H64"/>
  <c r="H66"/>
  <c r="B43" i="7"/>
  <c r="H72" i="8" l="1"/>
  <c r="H76" s="1"/>
  <c r="H71"/>
  <c r="H78" l="1"/>
  <c r="H80" s="1"/>
  <c r="H83" s="1"/>
  <c r="F42" i="7" l="1"/>
  <c r="H77" i="8"/>
  <c r="H79" s="1"/>
  <c r="H81" s="1"/>
  <c r="H82" s="1"/>
  <c r="F41" i="7" l="1"/>
  <c r="H103" i="8"/>
  <c r="H96" s="1"/>
  <c r="H102" s="1"/>
  <c r="H97" l="1"/>
  <c r="H107" s="1"/>
  <c r="H98" l="1"/>
  <c r="H99" l="1"/>
  <c r="H101" s="1"/>
  <c r="H104" l="1"/>
  <c r="H105" s="1"/>
  <c r="H106" s="1"/>
  <c r="H108" s="1"/>
  <c r="H109" s="1"/>
  <c r="F47" i="7" l="1"/>
  <c r="H113" i="8"/>
  <c r="H114" s="1"/>
  <c r="H115" l="1"/>
  <c r="H118"/>
  <c r="H117"/>
  <c r="B45" i="7"/>
  <c r="H116" i="8"/>
  <c r="J7" i="1"/>
  <c r="I7"/>
  <c r="A12" i="7" l="1"/>
  <c r="A50" s="1"/>
  <c r="J9" i="1"/>
  <c r="H119" i="8"/>
  <c r="H120" l="1"/>
  <c r="B47" i="7" s="1"/>
  <c r="B46"/>
  <c r="H121" i="8"/>
  <c r="B48" i="7" s="1"/>
</calcChain>
</file>

<file path=xl/sharedStrings.xml><?xml version="1.0" encoding="utf-8"?>
<sst xmlns="http://schemas.openxmlformats.org/spreadsheetml/2006/main" count="503" uniqueCount="276">
  <si>
    <t>Karakteristieken afrondingsstraal</t>
  </si>
  <si>
    <t>r</t>
  </si>
  <si>
    <t>t</t>
  </si>
  <si>
    <t>mm</t>
  </si>
  <si>
    <t>h</t>
  </si>
  <si>
    <t>b</t>
  </si>
  <si>
    <t>c</t>
  </si>
  <si>
    <t>Profielafmetingen</t>
  </si>
  <si>
    <t>mm²</t>
  </si>
  <si>
    <t>ε</t>
  </si>
  <si>
    <t>ρ</t>
  </si>
  <si>
    <t>ψ</t>
  </si>
  <si>
    <t>Materiaaleigenschappen</t>
  </si>
  <si>
    <t>E</t>
  </si>
  <si>
    <t>G</t>
  </si>
  <si>
    <t>N/mm²</t>
  </si>
  <si>
    <r>
      <t>c</t>
    </r>
    <r>
      <rPr>
        <i/>
        <vertAlign val="subscript"/>
        <sz val="11"/>
        <color indexed="8"/>
        <rFont val="Arial"/>
        <family val="2"/>
      </rPr>
      <t xml:space="preserve">eff </t>
    </r>
  </si>
  <si>
    <r>
      <t>A</t>
    </r>
    <r>
      <rPr>
        <i/>
        <vertAlign val="subscript"/>
        <sz val="11"/>
        <color indexed="8"/>
        <rFont val="Arial"/>
        <family val="2"/>
      </rPr>
      <t>s,red</t>
    </r>
  </si>
  <si>
    <r>
      <t>mm</t>
    </r>
    <r>
      <rPr>
        <vertAlign val="superscript"/>
        <sz val="11"/>
        <color indexed="8"/>
        <rFont val="Arial"/>
        <family val="2"/>
      </rPr>
      <t>4</t>
    </r>
  </si>
  <si>
    <t>INPUT</t>
  </si>
  <si>
    <r>
      <t>g</t>
    </r>
    <r>
      <rPr>
        <i/>
        <vertAlign val="subscript"/>
        <sz val="11"/>
        <color indexed="8"/>
        <rFont val="Arial"/>
        <family val="2"/>
      </rPr>
      <t>r</t>
    </r>
  </si>
  <si>
    <r>
      <t>b</t>
    </r>
    <r>
      <rPr>
        <i/>
        <vertAlign val="subscript"/>
        <sz val="11"/>
        <color indexed="8"/>
        <rFont val="Arial"/>
        <family val="2"/>
      </rPr>
      <t>eff</t>
    </r>
  </si>
  <si>
    <t>Rechte hoeken</t>
  </si>
  <si>
    <t>Met afronding</t>
  </si>
  <si>
    <t>Afgeleide profielmaten [mm]</t>
  </si>
  <si>
    <t>Voorwaarde voor de berekening</t>
  </si>
  <si>
    <t>Plaatdikte</t>
  </si>
  <si>
    <t>Geometrie van profiel</t>
  </si>
  <si>
    <t>Randverstijving</t>
  </si>
  <si>
    <t>c/t</t>
  </si>
  <si>
    <t>h/t</t>
  </si>
  <si>
    <t>plaatdeel 1</t>
  </si>
  <si>
    <t>plaatdeel 2</t>
  </si>
  <si>
    <t>b/t</t>
  </si>
  <si>
    <t>Afrondingsstraal wel of niet in rekening brengen?</t>
  </si>
  <si>
    <t>≤</t>
  </si>
  <si>
    <t>Eenheid</t>
  </si>
  <si>
    <t>plaat slankheid</t>
  </si>
  <si>
    <t>--</t>
  </si>
  <si>
    <t>effectieve breedte</t>
  </si>
  <si>
    <t>gereduceerde plaat slankheid</t>
  </si>
  <si>
    <t>effectief oppervlak</t>
  </si>
  <si>
    <t>afstand</t>
  </si>
  <si>
    <t>traagheidsmoment</t>
  </si>
  <si>
    <t>knikspanning verstijver</t>
  </si>
  <si>
    <t>reductiefactor</t>
  </si>
  <si>
    <t>gereduceerde dikte</t>
  </si>
  <si>
    <t>dwarsdoorsnede</t>
  </si>
  <si>
    <t>Symbool</t>
  </si>
  <si>
    <t>Parameter</t>
  </si>
  <si>
    <t>Onderdeel</t>
  </si>
  <si>
    <t>Effectieve</t>
  </si>
  <si>
    <r>
      <t>b</t>
    </r>
    <r>
      <rPr>
        <vertAlign val="subscript"/>
        <sz val="12"/>
        <color indexed="8"/>
        <rFont val="Arial"/>
        <family val="2"/>
      </rPr>
      <t>m</t>
    </r>
  </si>
  <si>
    <r>
      <t>b</t>
    </r>
    <r>
      <rPr>
        <vertAlign val="subscript"/>
        <sz val="12"/>
        <color indexed="8"/>
        <rFont val="Arial"/>
        <family val="2"/>
      </rPr>
      <t>v</t>
    </r>
  </si>
  <si>
    <r>
      <t>b</t>
    </r>
    <r>
      <rPr>
        <vertAlign val="subscript"/>
        <sz val="12"/>
        <color indexed="8"/>
        <rFont val="Arial"/>
        <family val="2"/>
      </rPr>
      <t>p</t>
    </r>
  </si>
  <si>
    <r>
      <t>mm</t>
    </r>
    <r>
      <rPr>
        <vertAlign val="superscript"/>
        <sz val="11"/>
        <color indexed="8"/>
        <rFont val="Arial"/>
        <family val="2"/>
      </rPr>
      <t>2</t>
    </r>
  </si>
  <si>
    <r>
      <t>N/mm</t>
    </r>
    <r>
      <rPr>
        <vertAlign val="superscript"/>
        <sz val="11"/>
        <color indexed="8"/>
        <rFont val="Arial"/>
        <family val="2"/>
      </rPr>
      <t>2</t>
    </r>
  </si>
  <si>
    <t>≤ 0,6</t>
  </si>
  <si>
    <t>EN 1993-1-3, 5.1 (3)</t>
  </si>
  <si>
    <t>EN 1993-1-5, 4.4 (2)</t>
  </si>
  <si>
    <t>EN 1993-1-3, 5.5.3.2 (7)</t>
  </si>
  <si>
    <t>EN 1993-1-3, 5.5.3.2 (10)</t>
  </si>
  <si>
    <t>EN 1993-1-3, 5.5.3.2 (11)</t>
  </si>
  <si>
    <t>EN 1993-1-3, 5.5.3.1 (7)</t>
  </si>
  <si>
    <t>EN 1993-1-3, 5.5.3.1 (5)</t>
  </si>
  <si>
    <t>ν</t>
  </si>
  <si>
    <t>gereduceerd effectief opp.</t>
  </si>
  <si>
    <t>veerstijfheid</t>
  </si>
  <si>
    <t>afstand van flens tot zw.punt</t>
  </si>
  <si>
    <t>spanningsverh.</t>
  </si>
  <si>
    <t>plooicoëfficiënt</t>
  </si>
  <si>
    <t>reductie factor</t>
  </si>
  <si>
    <t>eff. profielmaten</t>
  </si>
  <si>
    <t>relatieve slankheid</t>
  </si>
  <si>
    <r>
      <t>b</t>
    </r>
    <r>
      <rPr>
        <i/>
        <vertAlign val="subscript"/>
        <sz val="11"/>
        <color indexed="8"/>
        <rFont val="Arial"/>
        <family val="2"/>
      </rPr>
      <t>t</t>
    </r>
  </si>
  <si>
    <r>
      <t>b</t>
    </r>
    <r>
      <rPr>
        <i/>
        <vertAlign val="subscript"/>
        <sz val="11"/>
        <color indexed="8"/>
        <rFont val="Arial"/>
        <family val="2"/>
      </rPr>
      <t>c</t>
    </r>
  </si>
  <si>
    <t>eff. traagheidsmoment lijf</t>
  </si>
  <si>
    <t>eff. traagheidsmoment flens</t>
  </si>
  <si>
    <t>eff. traagheidsmoment lip</t>
  </si>
  <si>
    <t>eff. traagheidsmoment afrond.</t>
  </si>
  <si>
    <t>eff. weerstandsmoment druk</t>
  </si>
  <si>
    <t>eff. weerstandsmoment trek</t>
  </si>
  <si>
    <r>
      <t>I</t>
    </r>
    <r>
      <rPr>
        <i/>
        <vertAlign val="subscript"/>
        <sz val="11"/>
        <color indexed="8"/>
        <rFont val="Arial"/>
        <family val="2"/>
      </rPr>
      <t>eff ,z,h</t>
    </r>
  </si>
  <si>
    <r>
      <t>I</t>
    </r>
    <r>
      <rPr>
        <i/>
        <vertAlign val="subscript"/>
        <sz val="11"/>
        <color indexed="8"/>
        <rFont val="Arial"/>
        <family val="2"/>
      </rPr>
      <t>eff ,z,b</t>
    </r>
  </si>
  <si>
    <r>
      <t>I</t>
    </r>
    <r>
      <rPr>
        <i/>
        <vertAlign val="subscript"/>
        <sz val="11"/>
        <color indexed="8"/>
        <rFont val="Arial"/>
        <family val="2"/>
      </rPr>
      <t>eff ,z,c</t>
    </r>
  </si>
  <si>
    <r>
      <t>I</t>
    </r>
    <r>
      <rPr>
        <i/>
        <vertAlign val="subscript"/>
        <sz val="11"/>
        <color indexed="8"/>
        <rFont val="Arial"/>
        <family val="2"/>
      </rPr>
      <t>eff ,z,rc</t>
    </r>
  </si>
  <si>
    <r>
      <t>I</t>
    </r>
    <r>
      <rPr>
        <i/>
        <vertAlign val="subscript"/>
        <sz val="11"/>
        <color indexed="8"/>
        <rFont val="Arial"/>
        <family val="2"/>
      </rPr>
      <t>eff ,z</t>
    </r>
  </si>
  <si>
    <r>
      <t>W</t>
    </r>
    <r>
      <rPr>
        <i/>
        <vertAlign val="subscript"/>
        <sz val="11"/>
        <color indexed="8"/>
        <rFont val="Arial"/>
        <family val="2"/>
      </rPr>
      <t>eff,z,com</t>
    </r>
  </si>
  <si>
    <r>
      <t>W</t>
    </r>
    <r>
      <rPr>
        <i/>
        <vertAlign val="subscript"/>
        <sz val="11"/>
        <color indexed="8"/>
        <rFont val="Arial"/>
        <family val="2"/>
      </rPr>
      <t>eff,z,ten</t>
    </r>
  </si>
  <si>
    <r>
      <t>mm</t>
    </r>
    <r>
      <rPr>
        <vertAlign val="superscript"/>
        <sz val="11"/>
        <color indexed="8"/>
        <rFont val="Arial"/>
        <family val="2"/>
      </rPr>
      <t>3</t>
    </r>
  </si>
  <si>
    <r>
      <t>r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= r + t/2</t>
    </r>
  </si>
  <si>
    <r>
      <t>g</t>
    </r>
    <r>
      <rPr>
        <vertAlign val="subscript"/>
        <sz val="10"/>
        <color indexed="8"/>
        <rFont val="Times New Roman"/>
        <family val="1"/>
      </rPr>
      <t>r</t>
    </r>
    <r>
      <rPr>
        <sz val="10"/>
        <color indexed="8"/>
        <rFont val="Times New Roman"/>
        <family val="1"/>
      </rPr>
      <t xml:space="preserve"> = r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* (tan 45° - sin 45°)</t>
    </r>
  </si>
  <si>
    <r>
      <t>l</t>
    </r>
    <r>
      <rPr>
        <vertAlign val="subscript"/>
        <sz val="10"/>
        <color indexed="8"/>
        <rFont val="Times New Roman"/>
        <family val="1"/>
      </rPr>
      <t>r</t>
    </r>
    <r>
      <rPr>
        <sz val="10"/>
        <color indexed="8"/>
        <rFont val="Times New Roman"/>
        <family val="1"/>
      </rPr>
      <t xml:space="preserve"> = ½ * π * r</t>
    </r>
    <r>
      <rPr>
        <vertAlign val="subscript"/>
        <sz val="10"/>
        <color indexed="8"/>
        <rFont val="Times New Roman"/>
        <family val="1"/>
      </rPr>
      <t>m</t>
    </r>
  </si>
  <si>
    <r>
      <t>e</t>
    </r>
    <r>
      <rPr>
        <vertAlign val="subscript"/>
        <sz val="10"/>
        <color indexed="8"/>
        <rFont val="Times New Roman"/>
        <family val="1"/>
      </rPr>
      <t>rc</t>
    </r>
    <r>
      <rPr>
        <sz val="10"/>
        <color indexed="8"/>
        <rFont val="Times New Roman"/>
        <family val="1"/>
      </rPr>
      <t xml:space="preserve"> = 0,637 * r</t>
    </r>
    <r>
      <rPr>
        <vertAlign val="subscript"/>
        <sz val="10"/>
        <color indexed="8"/>
        <rFont val="Times New Roman"/>
        <family val="1"/>
      </rPr>
      <t>m</t>
    </r>
  </si>
  <si>
    <r>
      <t>I</t>
    </r>
    <r>
      <rPr>
        <vertAlign val="subscript"/>
        <sz val="10"/>
        <color indexed="8"/>
        <rFont val="Times New Roman"/>
        <family val="1"/>
      </rPr>
      <t>rc</t>
    </r>
    <r>
      <rPr>
        <sz val="10"/>
        <color indexed="8"/>
        <rFont val="Times New Roman"/>
        <family val="1"/>
      </rPr>
      <t xml:space="preserve"> = 0,149 * r</t>
    </r>
    <r>
      <rPr>
        <vertAlign val="subscript"/>
        <sz val="10"/>
        <color indexed="8"/>
        <rFont val="Times New Roman"/>
        <family val="1"/>
      </rPr>
      <t>m</t>
    </r>
    <r>
      <rPr>
        <vertAlign val="superscript"/>
        <sz val="10"/>
        <color indexed="8"/>
        <rFont val="Times New Roman"/>
        <family val="1"/>
      </rPr>
      <t>3</t>
    </r>
    <r>
      <rPr>
        <sz val="10"/>
        <color indexed="8"/>
        <rFont val="Times New Roman"/>
        <family val="1"/>
      </rPr>
      <t xml:space="preserve"> * t</t>
    </r>
  </si>
  <si>
    <r>
      <t>h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= h – t</t>
    </r>
  </si>
  <si>
    <r>
      <t>b</t>
    </r>
    <r>
      <rPr>
        <vertAlign val="subscript"/>
        <sz val="12"/>
        <color indexed="8"/>
        <rFont val="Times New Roman"/>
        <family val="1"/>
      </rPr>
      <t>m</t>
    </r>
    <r>
      <rPr>
        <sz val="12"/>
        <color indexed="8"/>
        <rFont val="Times New Roman"/>
        <family val="1"/>
      </rPr>
      <t xml:space="preserve"> = b – t</t>
    </r>
  </si>
  <si>
    <r>
      <t>c</t>
    </r>
    <r>
      <rPr>
        <vertAlign val="subscript"/>
        <sz val="12"/>
        <color indexed="8"/>
        <rFont val="Times New Roman"/>
        <family val="1"/>
      </rPr>
      <t>m</t>
    </r>
    <r>
      <rPr>
        <sz val="12"/>
        <color indexed="8"/>
        <rFont val="Times New Roman"/>
        <family val="1"/>
      </rPr>
      <t xml:space="preserve"> = c – ½ * t</t>
    </r>
  </si>
  <si>
    <r>
      <t>h</t>
    </r>
    <r>
      <rPr>
        <vertAlign val="subscript"/>
        <sz val="10"/>
        <color indexed="8"/>
        <rFont val="Times New Roman"/>
        <family val="1"/>
      </rPr>
      <t>v</t>
    </r>
    <r>
      <rPr>
        <sz val="10"/>
        <color indexed="8"/>
        <rFont val="Times New Roman"/>
        <family val="1"/>
      </rPr>
      <t xml:space="preserve"> = h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– 2 * r</t>
    </r>
    <r>
      <rPr>
        <vertAlign val="subscript"/>
        <sz val="10"/>
        <color indexed="8"/>
        <rFont val="Times New Roman"/>
        <family val="1"/>
      </rPr>
      <t>m</t>
    </r>
  </si>
  <si>
    <r>
      <t>b</t>
    </r>
    <r>
      <rPr>
        <vertAlign val="subscript"/>
        <sz val="12"/>
        <color indexed="8"/>
        <rFont val="Times New Roman"/>
        <family val="1"/>
      </rPr>
      <t xml:space="preserve">v </t>
    </r>
    <r>
      <rPr>
        <sz val="12"/>
        <color indexed="8"/>
        <rFont val="Times New Roman"/>
        <family val="1"/>
      </rPr>
      <t>= b</t>
    </r>
    <r>
      <rPr>
        <vertAlign val="subscript"/>
        <sz val="12"/>
        <color indexed="8"/>
        <rFont val="Times New Roman"/>
        <family val="1"/>
      </rPr>
      <t>m</t>
    </r>
    <r>
      <rPr>
        <sz val="12"/>
        <color indexed="8"/>
        <rFont val="Times New Roman"/>
        <family val="1"/>
      </rPr>
      <t xml:space="preserve"> – 2 * r</t>
    </r>
    <r>
      <rPr>
        <vertAlign val="subscript"/>
        <sz val="12"/>
        <color indexed="8"/>
        <rFont val="Times New Roman"/>
        <family val="1"/>
      </rPr>
      <t>m</t>
    </r>
  </si>
  <si>
    <r>
      <t>c</t>
    </r>
    <r>
      <rPr>
        <vertAlign val="subscript"/>
        <sz val="12"/>
        <color indexed="8"/>
        <rFont val="Times New Roman"/>
        <family val="1"/>
      </rPr>
      <t>v</t>
    </r>
    <r>
      <rPr>
        <sz val="12"/>
        <color indexed="8"/>
        <rFont val="Times New Roman"/>
        <family val="1"/>
      </rPr>
      <t xml:space="preserve"> = c</t>
    </r>
    <r>
      <rPr>
        <vertAlign val="subscript"/>
        <sz val="12"/>
        <color indexed="8"/>
        <rFont val="Times New Roman"/>
        <family val="1"/>
      </rPr>
      <t>m</t>
    </r>
    <r>
      <rPr>
        <sz val="12"/>
        <color indexed="8"/>
        <rFont val="Times New Roman"/>
        <family val="1"/>
      </rPr>
      <t xml:space="preserve"> – r</t>
    </r>
    <r>
      <rPr>
        <vertAlign val="subscript"/>
        <sz val="12"/>
        <color indexed="8"/>
        <rFont val="Times New Roman"/>
        <family val="1"/>
      </rPr>
      <t>m</t>
    </r>
  </si>
  <si>
    <r>
      <t>h</t>
    </r>
    <r>
      <rPr>
        <vertAlign val="subscript"/>
        <sz val="10"/>
        <color indexed="8"/>
        <rFont val="Times New Roman"/>
        <family val="1"/>
      </rPr>
      <t xml:space="preserve">p </t>
    </r>
    <r>
      <rPr>
        <sz val="10"/>
        <color indexed="8"/>
        <rFont val="Times New Roman"/>
        <family val="1"/>
      </rPr>
      <t>= h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– 2 * g</t>
    </r>
    <r>
      <rPr>
        <vertAlign val="subscript"/>
        <sz val="10"/>
        <color indexed="8"/>
        <rFont val="Times New Roman"/>
        <family val="1"/>
      </rPr>
      <t>r</t>
    </r>
  </si>
  <si>
    <r>
      <t>b</t>
    </r>
    <r>
      <rPr>
        <vertAlign val="subscript"/>
        <sz val="12"/>
        <color indexed="8"/>
        <rFont val="Times New Roman"/>
        <family val="1"/>
      </rPr>
      <t xml:space="preserve">p </t>
    </r>
    <r>
      <rPr>
        <sz val="12"/>
        <color indexed="8"/>
        <rFont val="Times New Roman"/>
        <family val="1"/>
      </rPr>
      <t>= b</t>
    </r>
    <r>
      <rPr>
        <vertAlign val="subscript"/>
        <sz val="12"/>
        <color indexed="8"/>
        <rFont val="Times New Roman"/>
        <family val="1"/>
      </rPr>
      <t>m</t>
    </r>
    <r>
      <rPr>
        <sz val="12"/>
        <color indexed="8"/>
        <rFont val="Times New Roman"/>
        <family val="1"/>
      </rPr>
      <t xml:space="preserve"> – 2 * g</t>
    </r>
    <r>
      <rPr>
        <vertAlign val="subscript"/>
        <sz val="12"/>
        <color indexed="8"/>
        <rFont val="Times New Roman"/>
        <family val="1"/>
      </rPr>
      <t>r</t>
    </r>
  </si>
  <si>
    <r>
      <t>c</t>
    </r>
    <r>
      <rPr>
        <vertAlign val="subscript"/>
        <sz val="12"/>
        <color indexed="8"/>
        <rFont val="Times New Roman"/>
        <family val="1"/>
      </rPr>
      <t>p</t>
    </r>
    <r>
      <rPr>
        <sz val="12"/>
        <color indexed="8"/>
        <rFont val="Times New Roman"/>
        <family val="1"/>
      </rPr>
      <t xml:space="preserve"> = c</t>
    </r>
    <r>
      <rPr>
        <vertAlign val="subscript"/>
        <sz val="12"/>
        <color indexed="8"/>
        <rFont val="Times New Roman"/>
        <family val="1"/>
      </rPr>
      <t>m</t>
    </r>
    <r>
      <rPr>
        <sz val="12"/>
        <color indexed="8"/>
        <rFont val="Times New Roman"/>
        <family val="1"/>
      </rPr>
      <t xml:space="preserve"> - g</t>
    </r>
    <r>
      <rPr>
        <vertAlign val="subscript"/>
        <sz val="12"/>
        <color indexed="8"/>
        <rFont val="Times New Roman"/>
        <family val="1"/>
      </rPr>
      <t>r</t>
    </r>
  </si>
  <si>
    <r>
      <t>A</t>
    </r>
    <r>
      <rPr>
        <vertAlign val="subscript"/>
        <sz val="10"/>
        <color indexed="8"/>
        <rFont val="Times New Roman"/>
        <family val="1"/>
      </rPr>
      <t>g</t>
    </r>
    <r>
      <rPr>
        <sz val="10"/>
        <color indexed="8"/>
        <rFont val="Times New Roman"/>
        <family val="1"/>
      </rPr>
      <t xml:space="preserve"> = (t * h</t>
    </r>
    <r>
      <rPr>
        <vertAlign val="subscript"/>
        <sz val="10"/>
        <color indexed="8"/>
        <rFont val="Times New Roman"/>
        <family val="1"/>
      </rPr>
      <t>v</t>
    </r>
    <r>
      <rPr>
        <sz val="10"/>
        <color indexed="8"/>
        <rFont val="Times New Roman"/>
        <family val="1"/>
      </rPr>
      <t>) + (2 * b</t>
    </r>
    <r>
      <rPr>
        <vertAlign val="subscript"/>
        <sz val="10"/>
        <color indexed="8"/>
        <rFont val="Times New Roman"/>
        <family val="1"/>
      </rPr>
      <t>v</t>
    </r>
    <r>
      <rPr>
        <sz val="10"/>
        <color indexed="8"/>
        <rFont val="Times New Roman"/>
        <family val="1"/>
      </rPr>
      <t xml:space="preserve"> * t) + (2 * t * c</t>
    </r>
    <r>
      <rPr>
        <vertAlign val="subscript"/>
        <sz val="10"/>
        <color indexed="8"/>
        <rFont val="Times New Roman"/>
        <family val="1"/>
      </rPr>
      <t>v</t>
    </r>
    <r>
      <rPr>
        <sz val="10"/>
        <color indexed="8"/>
        <rFont val="Times New Roman"/>
        <family val="1"/>
      </rPr>
      <t>) + (4 * A</t>
    </r>
    <r>
      <rPr>
        <vertAlign val="subscript"/>
        <sz val="10"/>
        <color indexed="8"/>
        <rFont val="Times New Roman"/>
        <family val="1"/>
      </rPr>
      <t>afronding</t>
    </r>
    <r>
      <rPr>
        <sz val="10"/>
        <color indexed="8"/>
        <rFont val="Times New Roman"/>
        <family val="1"/>
      </rPr>
      <t>)</t>
    </r>
  </si>
  <si>
    <r>
      <t>y</t>
    </r>
    <r>
      <rPr>
        <vertAlign val="subscript"/>
        <sz val="10"/>
        <color indexed="8"/>
        <rFont val="Times New Roman"/>
        <family val="1"/>
      </rPr>
      <t>g</t>
    </r>
    <r>
      <rPr>
        <sz val="10"/>
        <color indexed="8"/>
        <rFont val="Times New Roman"/>
        <family val="1"/>
      </rPr>
      <t xml:space="preserve"> = [ (h</t>
    </r>
    <r>
      <rPr>
        <vertAlign val="subscript"/>
        <sz val="10"/>
        <color indexed="8"/>
        <rFont val="Times New Roman"/>
        <family val="1"/>
      </rPr>
      <t>v</t>
    </r>
    <r>
      <rPr>
        <sz val="10"/>
        <color indexed="8"/>
        <rFont val="Times New Roman"/>
        <family val="1"/>
      </rPr>
      <t xml:space="preserve"> * t * ½ *t) + (2 * A</t>
    </r>
    <r>
      <rPr>
        <vertAlign val="subscript"/>
        <sz val="10"/>
        <color indexed="8"/>
        <rFont val="Times New Roman"/>
        <family val="1"/>
      </rPr>
      <t>afronding</t>
    </r>
    <r>
      <rPr>
        <sz val="10"/>
        <color indexed="8"/>
        <rFont val="Times New Roman"/>
        <family val="1"/>
      </rPr>
      <t xml:space="preserve"> * (r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– e</t>
    </r>
    <r>
      <rPr>
        <vertAlign val="subscript"/>
        <sz val="10"/>
        <color indexed="8"/>
        <rFont val="Times New Roman"/>
        <family val="1"/>
      </rPr>
      <t>rc</t>
    </r>
    <r>
      <rPr>
        <sz val="10"/>
        <color indexed="8"/>
        <rFont val="Times New Roman"/>
        <family val="1"/>
      </rPr>
      <t xml:space="preserve"> + ½ * t)) + (2 * b</t>
    </r>
    <r>
      <rPr>
        <vertAlign val="subscript"/>
        <sz val="10"/>
        <color indexed="8"/>
        <rFont val="Times New Roman"/>
        <family val="1"/>
      </rPr>
      <t>v</t>
    </r>
    <r>
      <rPr>
        <sz val="10"/>
        <color indexed="8"/>
        <rFont val="Times New Roman"/>
        <family val="1"/>
      </rPr>
      <t xml:space="preserve"> * t * ½ * b) + (2 * A</t>
    </r>
    <r>
      <rPr>
        <vertAlign val="subscript"/>
        <sz val="10"/>
        <color indexed="8"/>
        <rFont val="Times New Roman"/>
        <family val="1"/>
      </rPr>
      <t>afronding</t>
    </r>
    <r>
      <rPr>
        <sz val="10"/>
        <color indexed="8"/>
        <rFont val="Times New Roman"/>
        <family val="1"/>
      </rPr>
      <t xml:space="preserve"> * (b – (½ * t) + (r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– e</t>
    </r>
    <r>
      <rPr>
        <vertAlign val="subscript"/>
        <sz val="10"/>
        <color indexed="8"/>
        <rFont val="Times New Roman"/>
        <family val="1"/>
      </rPr>
      <t>rc</t>
    </r>
    <r>
      <rPr>
        <sz val="10"/>
        <color indexed="8"/>
        <rFont val="Times New Roman"/>
        <family val="1"/>
      </rPr>
      <t>))) + (2 * c</t>
    </r>
    <r>
      <rPr>
        <vertAlign val="subscript"/>
        <sz val="10"/>
        <color indexed="8"/>
        <rFont val="Times New Roman"/>
        <family val="1"/>
      </rPr>
      <t>v</t>
    </r>
    <r>
      <rPr>
        <sz val="10"/>
        <color indexed="8"/>
        <rFont val="Times New Roman"/>
        <family val="1"/>
      </rPr>
      <t xml:space="preserve"> * t * (b – (½ * t)) ] / A</t>
    </r>
    <r>
      <rPr>
        <vertAlign val="subscript"/>
        <sz val="10"/>
        <color indexed="8"/>
        <rFont val="Times New Roman"/>
        <family val="1"/>
      </rPr>
      <t>g</t>
    </r>
    <r>
      <rPr>
        <sz val="10"/>
        <color indexed="8"/>
        <rFont val="Times New Roman"/>
        <family val="1"/>
      </rPr>
      <t xml:space="preserve"> – (½ * t)</t>
    </r>
  </si>
  <si>
    <r>
      <t>z</t>
    </r>
    <r>
      <rPr>
        <vertAlign val="subscript"/>
        <sz val="10"/>
        <color indexed="8"/>
        <rFont val="Times New Roman"/>
        <family val="1"/>
      </rPr>
      <t>g</t>
    </r>
    <r>
      <rPr>
        <sz val="10"/>
        <color indexed="8"/>
        <rFont val="Times New Roman"/>
        <family val="1"/>
      </rPr>
      <t xml:space="preserve"> = h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/ 2</t>
    </r>
  </si>
  <si>
    <r>
      <t>i</t>
    </r>
    <r>
      <rPr>
        <vertAlign val="subscript"/>
        <sz val="10"/>
        <color indexed="8"/>
        <rFont val="Times New Roman"/>
        <family val="1"/>
      </rPr>
      <t>g,y</t>
    </r>
    <r>
      <rPr>
        <sz val="10"/>
        <color indexed="8"/>
        <rFont val="Times New Roman"/>
        <family val="1"/>
      </rPr>
      <t xml:space="preserve"> = √ (I</t>
    </r>
    <r>
      <rPr>
        <vertAlign val="subscript"/>
        <sz val="10"/>
        <color indexed="8"/>
        <rFont val="Times New Roman"/>
        <family val="1"/>
      </rPr>
      <t>g,y</t>
    </r>
    <r>
      <rPr>
        <sz val="10"/>
        <color indexed="8"/>
        <rFont val="Times New Roman"/>
        <family val="1"/>
      </rPr>
      <t xml:space="preserve"> / A</t>
    </r>
    <r>
      <rPr>
        <vertAlign val="subscript"/>
        <sz val="10"/>
        <color indexed="8"/>
        <rFont val="Times New Roman"/>
        <family val="1"/>
      </rPr>
      <t>g</t>
    </r>
    <r>
      <rPr>
        <sz val="10"/>
        <color indexed="8"/>
        <rFont val="Times New Roman"/>
        <family val="1"/>
      </rPr>
      <t>)</t>
    </r>
  </si>
  <si>
    <r>
      <t>i</t>
    </r>
    <r>
      <rPr>
        <vertAlign val="subscript"/>
        <sz val="10"/>
        <color indexed="8"/>
        <rFont val="Times New Roman"/>
        <family val="1"/>
      </rPr>
      <t>g,z</t>
    </r>
    <r>
      <rPr>
        <sz val="10"/>
        <color indexed="8"/>
        <rFont val="Times New Roman"/>
        <family val="1"/>
      </rPr>
      <t xml:space="preserve"> = √ (I</t>
    </r>
    <r>
      <rPr>
        <vertAlign val="subscript"/>
        <sz val="10"/>
        <color indexed="8"/>
        <rFont val="Times New Roman"/>
        <family val="1"/>
      </rPr>
      <t>g,z</t>
    </r>
    <r>
      <rPr>
        <sz val="10"/>
        <color indexed="8"/>
        <rFont val="Times New Roman"/>
        <family val="1"/>
      </rPr>
      <t xml:space="preserve"> / A</t>
    </r>
    <r>
      <rPr>
        <vertAlign val="subscript"/>
        <sz val="10"/>
        <color indexed="8"/>
        <rFont val="Times New Roman"/>
        <family val="1"/>
      </rPr>
      <t>g</t>
    </r>
    <r>
      <rPr>
        <sz val="10"/>
        <color indexed="8"/>
        <rFont val="Times New Roman"/>
        <family val="1"/>
      </rPr>
      <t>)</t>
    </r>
  </si>
  <si>
    <t>EN 1993-1-5, tabel 4.1</t>
  </si>
  <si>
    <t>EN 1993-1-3, 5.5.3.2 (5)</t>
  </si>
  <si>
    <t>EN 1993-1-3, 5.5.3.2 (12)</t>
  </si>
  <si>
    <t>eff. traagheidsmoment totaal</t>
  </si>
  <si>
    <t>c/b</t>
  </si>
  <si>
    <r>
      <t>I</t>
    </r>
    <r>
      <rPr>
        <vertAlign val="subscript"/>
        <sz val="10"/>
        <color indexed="8"/>
        <rFont val="Times New Roman"/>
        <family val="1"/>
      </rPr>
      <t>g,y</t>
    </r>
    <r>
      <rPr>
        <sz val="10"/>
        <color indexed="8"/>
        <rFont val="Times New Roman"/>
        <family val="1"/>
      </rPr>
      <t xml:space="preserve"> = 2 * (b</t>
    </r>
    <r>
      <rPr>
        <vertAlign val="subscript"/>
        <sz val="10"/>
        <color indexed="8"/>
        <rFont val="Times New Roman"/>
        <family val="1"/>
      </rPr>
      <t>v</t>
    </r>
    <r>
      <rPr>
        <sz val="10"/>
        <color indexed="8"/>
        <rFont val="Times New Roman"/>
        <family val="1"/>
      </rPr>
      <t xml:space="preserve"> * t * (½ * h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>)²)) + (1/12 * t * h</t>
    </r>
    <r>
      <rPr>
        <vertAlign val="subscript"/>
        <sz val="10"/>
        <color indexed="8"/>
        <rFont val="Times New Roman"/>
        <family val="1"/>
      </rPr>
      <t>v</t>
    </r>
    <r>
      <rPr>
        <vertAlign val="superscript"/>
        <sz val="10"/>
        <color indexed="8"/>
        <rFont val="Times New Roman"/>
        <family val="1"/>
      </rPr>
      <t>3</t>
    </r>
    <r>
      <rPr>
        <sz val="10"/>
        <color indexed="8"/>
        <rFont val="Times New Roman"/>
        <family val="1"/>
      </rPr>
      <t>) + (4 * (I</t>
    </r>
    <r>
      <rPr>
        <vertAlign val="subscript"/>
        <sz val="10"/>
        <color indexed="8"/>
        <rFont val="Times New Roman"/>
        <family val="1"/>
      </rPr>
      <t>rc</t>
    </r>
    <r>
      <rPr>
        <sz val="10"/>
        <color indexed="8"/>
        <rFont val="Times New Roman"/>
        <family val="1"/>
      </rPr>
      <t xml:space="preserve"> + (A</t>
    </r>
    <r>
      <rPr>
        <vertAlign val="subscript"/>
        <sz val="10"/>
        <color indexed="8"/>
        <rFont val="Times New Roman"/>
        <family val="1"/>
      </rPr>
      <t>afronding</t>
    </r>
    <r>
      <rPr>
        <sz val="10"/>
        <color indexed="8"/>
        <rFont val="Times New Roman"/>
        <family val="1"/>
      </rPr>
      <t xml:space="preserve"> * ((½ * h</t>
    </r>
    <r>
      <rPr>
        <vertAlign val="subscript"/>
        <sz val="10"/>
        <color indexed="8"/>
        <rFont val="Times New Roman"/>
        <family val="1"/>
      </rPr>
      <t>v</t>
    </r>
    <r>
      <rPr>
        <sz val="10"/>
        <color indexed="8"/>
        <rFont val="Times New Roman"/>
        <family val="1"/>
      </rPr>
      <t>) + e</t>
    </r>
    <r>
      <rPr>
        <vertAlign val="subscript"/>
        <sz val="10"/>
        <color indexed="8"/>
        <rFont val="Times New Roman"/>
        <family val="1"/>
      </rPr>
      <t>rc</t>
    </r>
    <r>
      <rPr>
        <sz val="10"/>
        <color indexed="8"/>
        <rFont val="Times New Roman"/>
        <family val="1"/>
      </rPr>
      <t>)²))) + (2 * ((1/12 * t * c</t>
    </r>
    <r>
      <rPr>
        <vertAlign val="subscript"/>
        <sz val="10"/>
        <color indexed="8"/>
        <rFont val="Times New Roman"/>
        <family val="1"/>
      </rPr>
      <t>v</t>
    </r>
    <r>
      <rPr>
        <vertAlign val="superscript"/>
        <sz val="10"/>
        <color indexed="8"/>
        <rFont val="Times New Roman"/>
        <family val="1"/>
      </rPr>
      <t>3</t>
    </r>
    <r>
      <rPr>
        <sz val="10"/>
        <color indexed="8"/>
        <rFont val="Times New Roman"/>
        <family val="1"/>
      </rPr>
      <t>) + (t * c</t>
    </r>
    <r>
      <rPr>
        <vertAlign val="subscript"/>
        <sz val="10"/>
        <color indexed="8"/>
        <rFont val="Times New Roman"/>
        <family val="1"/>
      </rPr>
      <t>v</t>
    </r>
    <r>
      <rPr>
        <sz val="10"/>
        <color indexed="8"/>
        <rFont val="Times New Roman"/>
        <family val="1"/>
      </rPr>
      <t xml:space="preserve"> * ((½ * h) – c + (½ * c</t>
    </r>
    <r>
      <rPr>
        <vertAlign val="subscript"/>
        <sz val="10"/>
        <color indexed="8"/>
        <rFont val="Times New Roman"/>
        <family val="1"/>
      </rPr>
      <t>v</t>
    </r>
    <r>
      <rPr>
        <sz val="10"/>
        <color indexed="8"/>
        <rFont val="Times New Roman"/>
        <family val="1"/>
      </rPr>
      <t>))²)))</t>
    </r>
  </si>
  <si>
    <r>
      <t>I</t>
    </r>
    <r>
      <rPr>
        <vertAlign val="subscript"/>
        <sz val="10"/>
        <color indexed="8"/>
        <rFont val="Times New Roman"/>
        <family val="1"/>
      </rPr>
      <t>g,z</t>
    </r>
    <r>
      <rPr>
        <sz val="10"/>
        <color indexed="8"/>
        <rFont val="Times New Roman"/>
        <family val="1"/>
      </rPr>
      <t xml:space="preserve"> = 2 * (h</t>
    </r>
    <r>
      <rPr>
        <vertAlign val="subscript"/>
        <sz val="10"/>
        <color indexed="8"/>
        <rFont val="Times New Roman"/>
        <family val="1"/>
      </rPr>
      <t>v</t>
    </r>
    <r>
      <rPr>
        <sz val="10"/>
        <color indexed="8"/>
        <rFont val="Times New Roman"/>
        <family val="1"/>
      </rPr>
      <t xml:space="preserve"> * t * y</t>
    </r>
    <r>
      <rPr>
        <vertAlign val="subscript"/>
        <sz val="10"/>
        <color indexed="8"/>
        <rFont val="Times New Roman"/>
        <family val="1"/>
      </rPr>
      <t>g</t>
    </r>
    <r>
      <rPr>
        <sz val="10"/>
        <color indexed="8"/>
        <rFont val="Times New Roman"/>
        <family val="1"/>
      </rPr>
      <t>²) + (2 * (I</t>
    </r>
    <r>
      <rPr>
        <vertAlign val="subscript"/>
        <sz val="10"/>
        <color indexed="8"/>
        <rFont val="Times New Roman"/>
        <family val="1"/>
      </rPr>
      <t>rc</t>
    </r>
    <r>
      <rPr>
        <sz val="10"/>
        <color indexed="8"/>
        <rFont val="Times New Roman"/>
        <family val="1"/>
      </rPr>
      <t xml:space="preserve"> + (A</t>
    </r>
    <r>
      <rPr>
        <vertAlign val="subscript"/>
        <sz val="10"/>
        <color indexed="8"/>
        <rFont val="Times New Roman"/>
        <family val="1"/>
      </rPr>
      <t>afronding</t>
    </r>
    <r>
      <rPr>
        <sz val="10"/>
        <color indexed="8"/>
        <rFont val="Times New Roman"/>
        <family val="1"/>
      </rPr>
      <t xml:space="preserve"> * (y</t>
    </r>
    <r>
      <rPr>
        <vertAlign val="subscript"/>
        <sz val="10"/>
        <color indexed="8"/>
        <rFont val="Times New Roman"/>
        <family val="1"/>
      </rPr>
      <t>g</t>
    </r>
    <r>
      <rPr>
        <sz val="10"/>
        <color indexed="8"/>
        <rFont val="Times New Roman"/>
        <family val="1"/>
      </rPr>
      <t xml:space="preserve"> – (r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– e</t>
    </r>
    <r>
      <rPr>
        <vertAlign val="subscript"/>
        <sz val="10"/>
        <color indexed="8"/>
        <rFont val="Times New Roman"/>
        <family val="1"/>
      </rPr>
      <t>rc</t>
    </r>
    <r>
      <rPr>
        <sz val="10"/>
        <color indexed="8"/>
        <rFont val="Times New Roman"/>
        <family val="1"/>
      </rPr>
      <t xml:space="preserve">))²))) + (2 * </t>
    </r>
    <r>
      <rPr>
        <sz val="10"/>
        <color indexed="8"/>
        <rFont val="Times New Roman"/>
        <family val="1"/>
      </rPr>
      <t>(t * b</t>
    </r>
    <r>
      <rPr>
        <vertAlign val="subscript"/>
        <sz val="10"/>
        <color indexed="8"/>
        <rFont val="Times New Roman"/>
        <family val="1"/>
      </rPr>
      <t>v</t>
    </r>
    <r>
      <rPr>
        <sz val="10"/>
        <color indexed="8"/>
        <rFont val="Times New Roman"/>
        <family val="1"/>
      </rPr>
      <t xml:space="preserve"> * ((½ * b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>) – y</t>
    </r>
    <r>
      <rPr>
        <vertAlign val="subscript"/>
        <sz val="10"/>
        <color indexed="8"/>
        <rFont val="Times New Roman"/>
        <family val="1"/>
      </rPr>
      <t>g</t>
    </r>
    <r>
      <rPr>
        <sz val="10"/>
        <color indexed="8"/>
        <rFont val="Times New Roman"/>
        <family val="1"/>
      </rPr>
      <t>)²)) + (2* (I</t>
    </r>
    <r>
      <rPr>
        <vertAlign val="subscript"/>
        <sz val="10"/>
        <color indexed="8"/>
        <rFont val="Times New Roman"/>
        <family val="1"/>
      </rPr>
      <t>rc</t>
    </r>
    <r>
      <rPr>
        <sz val="10"/>
        <color indexed="8"/>
        <rFont val="Times New Roman"/>
        <family val="1"/>
      </rPr>
      <t xml:space="preserve"> + (A</t>
    </r>
    <r>
      <rPr>
        <vertAlign val="subscript"/>
        <sz val="10"/>
        <color indexed="8"/>
        <rFont val="Times New Roman"/>
        <family val="1"/>
      </rPr>
      <t>afronding</t>
    </r>
    <r>
      <rPr>
        <sz val="10"/>
        <color indexed="8"/>
        <rFont val="Times New Roman"/>
        <family val="1"/>
      </rPr>
      <t xml:space="preserve"> * (b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– (r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– e</t>
    </r>
    <r>
      <rPr>
        <vertAlign val="subscript"/>
        <sz val="10"/>
        <color indexed="8"/>
        <rFont val="Times New Roman"/>
        <family val="1"/>
      </rPr>
      <t>rc</t>
    </r>
    <r>
      <rPr>
        <sz val="10"/>
        <color indexed="8"/>
        <rFont val="Times New Roman"/>
        <family val="1"/>
      </rPr>
      <t>) – y</t>
    </r>
    <r>
      <rPr>
        <vertAlign val="subscript"/>
        <sz val="10"/>
        <color indexed="8"/>
        <rFont val="Times New Roman"/>
        <family val="1"/>
      </rPr>
      <t>g</t>
    </r>
    <r>
      <rPr>
        <sz val="10"/>
        <color indexed="8"/>
        <rFont val="Times New Roman"/>
        <family val="1"/>
      </rPr>
      <t xml:space="preserve">)²))) + (2 * </t>
    </r>
    <r>
      <rPr>
        <sz val="10"/>
        <color indexed="8"/>
        <rFont val="Times New Roman"/>
        <family val="1"/>
      </rPr>
      <t xml:space="preserve"> (c</t>
    </r>
    <r>
      <rPr>
        <vertAlign val="subscript"/>
        <sz val="10"/>
        <color indexed="8"/>
        <rFont val="Times New Roman"/>
        <family val="1"/>
      </rPr>
      <t>v</t>
    </r>
    <r>
      <rPr>
        <sz val="10"/>
        <color indexed="8"/>
        <rFont val="Times New Roman"/>
        <family val="1"/>
      </rPr>
      <t xml:space="preserve"> * t * (b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– y</t>
    </r>
    <r>
      <rPr>
        <vertAlign val="subscript"/>
        <sz val="10"/>
        <color indexed="8"/>
        <rFont val="Times New Roman"/>
        <family val="1"/>
      </rPr>
      <t>g</t>
    </r>
    <r>
      <rPr>
        <sz val="10"/>
        <color indexed="8"/>
        <rFont val="Times New Roman"/>
        <family val="1"/>
      </rPr>
      <t>)²))</t>
    </r>
  </si>
  <si>
    <r>
      <t>verhouding c</t>
    </r>
    <r>
      <rPr>
        <vertAlign val="subscript"/>
        <sz val="11"/>
        <color indexed="8"/>
        <rFont val="Arial"/>
        <family val="2"/>
      </rPr>
      <t>p</t>
    </r>
    <r>
      <rPr>
        <sz val="11"/>
        <color indexed="8"/>
        <rFont val="Arial"/>
        <family val="2"/>
      </rPr>
      <t>/b</t>
    </r>
    <r>
      <rPr>
        <vertAlign val="subscript"/>
        <sz val="11"/>
        <color indexed="8"/>
        <rFont val="Arial"/>
        <family val="2"/>
      </rPr>
      <t>p</t>
    </r>
  </si>
  <si>
    <t>1 ≤</t>
  </si>
  <si>
    <t>Ψ</t>
  </si>
  <si>
    <t>plaatdeel 3 [lip]</t>
  </si>
  <si>
    <t>afrondingsstraal</t>
  </si>
  <si>
    <r>
      <t>c</t>
    </r>
    <r>
      <rPr>
        <i/>
        <vertAlign val="subscript"/>
        <sz val="11"/>
        <color indexed="8"/>
        <rFont val="Arial"/>
        <family val="2"/>
      </rPr>
      <t>eff ,v</t>
    </r>
  </si>
  <si>
    <r>
      <t>t</t>
    </r>
    <r>
      <rPr>
        <i/>
        <vertAlign val="subscript"/>
        <sz val="11"/>
        <color indexed="8"/>
        <rFont val="Arial"/>
        <family val="2"/>
      </rPr>
      <t>red</t>
    </r>
  </si>
  <si>
    <r>
      <t>y</t>
    </r>
    <r>
      <rPr>
        <i/>
        <vertAlign val="subscript"/>
        <sz val="11"/>
        <color indexed="8"/>
        <rFont val="Arial"/>
        <family val="2"/>
      </rPr>
      <t>eff</t>
    </r>
  </si>
  <si>
    <r>
      <t>k</t>
    </r>
    <r>
      <rPr>
        <i/>
        <vertAlign val="subscript"/>
        <sz val="11"/>
        <color indexed="8"/>
        <rFont val="Arial"/>
        <family val="2"/>
      </rPr>
      <t>σ</t>
    </r>
  </si>
  <si>
    <r>
      <t>b</t>
    </r>
    <r>
      <rPr>
        <i/>
        <vertAlign val="subscript"/>
        <sz val="11"/>
        <color indexed="8"/>
        <rFont val="Arial"/>
        <family val="2"/>
      </rPr>
      <t>e2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</si>
  <si>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e1 </t>
    </r>
  </si>
  <si>
    <r>
      <t>b</t>
    </r>
    <r>
      <rPr>
        <i/>
        <vertAlign val="subscript"/>
        <sz val="11"/>
        <color indexed="8"/>
        <rFont val="Arial"/>
        <family val="2"/>
      </rPr>
      <t>eff1;v</t>
    </r>
  </si>
  <si>
    <r>
      <t>b</t>
    </r>
    <r>
      <rPr>
        <i/>
        <vertAlign val="subscript"/>
        <sz val="11"/>
        <color indexed="8"/>
        <rFont val="Arial"/>
        <family val="2"/>
      </rPr>
      <t>eff2;v</t>
    </r>
  </si>
  <si>
    <r>
      <t>c</t>
    </r>
    <r>
      <rPr>
        <i/>
        <vertAlign val="subscript"/>
        <sz val="12"/>
        <color indexed="8"/>
        <rFont val="Arial"/>
        <family val="2"/>
      </rPr>
      <t>p</t>
    </r>
  </si>
  <si>
    <r>
      <t>b</t>
    </r>
    <r>
      <rPr>
        <i/>
        <vertAlign val="subscript"/>
        <sz val="12"/>
        <color indexed="8"/>
        <rFont val="Arial"/>
        <family val="2"/>
      </rPr>
      <t>p</t>
    </r>
  </si>
  <si>
    <r>
      <t>c</t>
    </r>
    <r>
      <rPr>
        <i/>
        <vertAlign val="subscript"/>
        <sz val="11"/>
        <color indexed="8"/>
        <rFont val="Arial"/>
        <family val="2"/>
      </rPr>
      <t>eff ,m</t>
    </r>
  </si>
  <si>
    <r>
      <t>e</t>
    </r>
    <r>
      <rPr>
        <i/>
        <vertAlign val="subscript"/>
        <sz val="11"/>
        <color indexed="8"/>
        <rFont val="Arial"/>
        <family val="2"/>
      </rPr>
      <t>a</t>
    </r>
  </si>
  <si>
    <r>
      <t>e</t>
    </r>
    <r>
      <rPr>
        <i/>
        <vertAlign val="subscript"/>
        <sz val="11"/>
        <color indexed="8"/>
        <rFont val="Arial"/>
        <family val="2"/>
      </rPr>
      <t>b</t>
    </r>
  </si>
  <si>
    <r>
      <t>b</t>
    </r>
    <r>
      <rPr>
        <i/>
        <vertAlign val="subscript"/>
        <sz val="11"/>
        <color indexed="8"/>
        <rFont val="Arial"/>
        <family val="2"/>
      </rPr>
      <t>1</t>
    </r>
  </si>
  <si>
    <r>
      <t>b</t>
    </r>
    <r>
      <rPr>
        <i/>
        <vertAlign val="subscript"/>
        <sz val="11"/>
        <color indexed="8"/>
        <rFont val="Arial"/>
        <family val="2"/>
      </rPr>
      <t>2</t>
    </r>
  </si>
  <si>
    <r>
      <t>K</t>
    </r>
    <r>
      <rPr>
        <i/>
        <vertAlign val="subscript"/>
        <sz val="11"/>
        <color indexed="8"/>
        <rFont val="Arial"/>
        <family val="2"/>
      </rPr>
      <t>1</t>
    </r>
  </si>
  <si>
    <r>
      <t>I</t>
    </r>
    <r>
      <rPr>
        <i/>
        <vertAlign val="subscript"/>
        <sz val="11"/>
        <color indexed="8"/>
        <rFont val="Arial"/>
        <family val="2"/>
      </rPr>
      <t>s</t>
    </r>
  </si>
  <si>
    <r>
      <t>A</t>
    </r>
    <r>
      <rPr>
        <i/>
        <vertAlign val="subscript"/>
        <sz val="11"/>
        <color indexed="8"/>
        <rFont val="Arial"/>
        <family val="2"/>
      </rPr>
      <t>s</t>
    </r>
  </si>
  <si>
    <r>
      <t>σ</t>
    </r>
    <r>
      <rPr>
        <i/>
        <vertAlign val="subscript"/>
        <sz val="11"/>
        <color indexed="8"/>
        <rFont val="Arial"/>
        <family val="2"/>
      </rPr>
      <t>cr;s</t>
    </r>
  </si>
  <si>
    <r>
      <t>σ</t>
    </r>
    <r>
      <rPr>
        <i/>
        <vertAlign val="subscript"/>
        <sz val="11"/>
        <color indexed="8"/>
        <rFont val="Arial"/>
        <family val="2"/>
      </rPr>
      <t>com,Ed</t>
    </r>
  </si>
  <si>
    <r>
      <t>A</t>
    </r>
    <r>
      <rPr>
        <i/>
        <vertAlign val="subscript"/>
        <sz val="11"/>
        <color indexed="8"/>
        <rFont val="Arial"/>
        <family val="2"/>
      </rPr>
      <t>eff</t>
    </r>
  </si>
  <si>
    <r>
      <t>r</t>
    </r>
    <r>
      <rPr>
        <i/>
        <vertAlign val="subscript"/>
        <sz val="11"/>
        <color indexed="8"/>
        <rFont val="Arial"/>
        <family val="2"/>
      </rPr>
      <t>m</t>
    </r>
  </si>
  <si>
    <r>
      <t>l</t>
    </r>
    <r>
      <rPr>
        <i/>
        <vertAlign val="subscript"/>
        <sz val="11"/>
        <color indexed="8"/>
        <rFont val="Times New Roman"/>
        <family val="1"/>
      </rPr>
      <t>r</t>
    </r>
  </si>
  <si>
    <r>
      <t>e</t>
    </r>
    <r>
      <rPr>
        <i/>
        <vertAlign val="subscript"/>
        <sz val="11"/>
        <color indexed="8"/>
        <rFont val="Arial"/>
        <family val="2"/>
      </rPr>
      <t>rc</t>
    </r>
  </si>
  <si>
    <r>
      <t>I</t>
    </r>
    <r>
      <rPr>
        <i/>
        <vertAlign val="subscript"/>
        <sz val="11"/>
        <color indexed="8"/>
        <rFont val="Arial"/>
        <family val="2"/>
      </rPr>
      <t>rc</t>
    </r>
  </si>
  <si>
    <r>
      <t>f</t>
    </r>
    <r>
      <rPr>
        <i/>
        <vertAlign val="subscript"/>
        <sz val="11"/>
        <color indexed="8"/>
        <rFont val="Arial"/>
        <family val="2"/>
      </rPr>
      <t>yb</t>
    </r>
  </si>
  <si>
    <r>
      <t>k</t>
    </r>
    <r>
      <rPr>
        <i/>
        <vertAlign val="subscript"/>
        <sz val="11"/>
        <color indexed="8"/>
        <rFont val="Arial"/>
        <family val="2"/>
      </rPr>
      <t>f</t>
    </r>
  </si>
  <si>
    <r>
      <t>h</t>
    </r>
    <r>
      <rPr>
        <i/>
        <vertAlign val="subscript"/>
        <sz val="11"/>
        <color indexed="8"/>
        <rFont val="Arial"/>
        <family val="2"/>
      </rPr>
      <t>v</t>
    </r>
  </si>
  <si>
    <t>≤ 50</t>
  </si>
  <si>
    <t>≤ 8</t>
  </si>
  <si>
    <t>≤ 500</t>
  </si>
  <si>
    <t>≤ 60</t>
  </si>
  <si>
    <t>≥ 0,2</t>
  </si>
  <si>
    <r>
      <t>b</t>
    </r>
    <r>
      <rPr>
        <i/>
        <vertAlign val="subscript"/>
        <sz val="11"/>
        <color indexed="8"/>
        <rFont val="Arial"/>
        <family val="2"/>
      </rPr>
      <t>t,v</t>
    </r>
  </si>
  <si>
    <t>plooispanning</t>
  </si>
  <si>
    <r>
      <rPr>
        <b/>
        <sz val="20"/>
        <color indexed="8"/>
        <rFont val="Arial"/>
        <family val="2"/>
      </rPr>
      <t>C-M</t>
    </r>
    <r>
      <rPr>
        <b/>
        <vertAlign val="subscript"/>
        <sz val="20"/>
        <color indexed="8"/>
        <rFont val="Arial"/>
        <family val="2"/>
      </rPr>
      <t>z2</t>
    </r>
    <r>
      <rPr>
        <b/>
        <sz val="20"/>
        <color indexed="8"/>
        <rFont val="Arial"/>
        <family val="2"/>
      </rPr>
      <t>: Input &amp; output</t>
    </r>
  </si>
  <si>
    <r>
      <rPr>
        <b/>
        <sz val="20"/>
        <color indexed="8"/>
        <rFont val="Arial"/>
        <family val="2"/>
      </rPr>
      <t>C-M</t>
    </r>
    <r>
      <rPr>
        <b/>
        <vertAlign val="subscript"/>
        <sz val="20"/>
        <color indexed="8"/>
        <rFont val="Arial"/>
        <family val="2"/>
      </rPr>
      <t>z2</t>
    </r>
    <r>
      <rPr>
        <b/>
        <sz val="20"/>
        <color indexed="8"/>
        <rFont val="Arial"/>
        <family val="2"/>
      </rPr>
      <t>: Profieleigenschappen</t>
    </r>
  </si>
  <si>
    <t>Bepaling initiële ligging van de neutrale lijn</t>
  </si>
  <si>
    <t>afstand van lijf tot zwaartepunt</t>
  </si>
  <si>
    <t>Bepaling effectieve doorsnede van lijf met randverstijving</t>
  </si>
  <si>
    <r>
      <t>y</t>
    </r>
    <r>
      <rPr>
        <vertAlign val="subscript"/>
        <sz val="11"/>
        <color indexed="8"/>
        <rFont val="Arial"/>
        <family val="2"/>
      </rPr>
      <t>init</t>
    </r>
    <r>
      <rPr>
        <sz val="11"/>
        <color indexed="8"/>
        <rFont val="Arial"/>
        <family val="2"/>
      </rPr>
      <t>=y</t>
    </r>
    <r>
      <rPr>
        <vertAlign val="subscript"/>
        <sz val="11"/>
        <color indexed="8"/>
        <rFont val="Arial"/>
        <family val="2"/>
      </rPr>
      <t>g</t>
    </r>
    <r>
      <rPr>
        <sz val="11"/>
        <color indexed="8"/>
        <rFont val="Arial"/>
        <family val="2"/>
      </rPr>
      <t>=</t>
    </r>
  </si>
  <si>
    <r>
      <t>Plaatdeel 2</t>
    </r>
    <r>
      <rPr>
        <sz val="11"/>
        <color indexed="8"/>
        <rFont val="Arial"/>
        <family val="2"/>
      </rPr>
      <t xml:space="preserve"> (lijf)</t>
    </r>
  </si>
  <si>
    <r>
      <t>Plaatdeel 3</t>
    </r>
    <r>
      <rPr>
        <sz val="11"/>
        <color indexed="8"/>
        <rFont val="Arial"/>
        <family val="2"/>
      </rPr>
      <t xml:space="preserve"> (lip)</t>
    </r>
  </si>
  <si>
    <r>
      <t xml:space="preserve">Profieleigenschappen </t>
    </r>
    <r>
      <rPr>
        <b/>
        <sz val="14"/>
        <color indexed="8"/>
        <rFont val="Arial"/>
        <family val="2"/>
      </rPr>
      <t>niet gereduceerde dwarsdoorsnede</t>
    </r>
  </si>
  <si>
    <t>Scherpe hoeken</t>
  </si>
  <si>
    <t>Met afrondingsstraal</t>
  </si>
  <si>
    <r>
      <t>γ</t>
    </r>
    <r>
      <rPr>
        <i/>
        <vertAlign val="subscript"/>
        <sz val="11"/>
        <color indexed="8"/>
        <rFont val="Arial"/>
        <family val="2"/>
      </rPr>
      <t>M0</t>
    </r>
  </si>
  <si>
    <r>
      <t>γ</t>
    </r>
    <r>
      <rPr>
        <i/>
        <vertAlign val="subscript"/>
        <sz val="11"/>
        <color indexed="8"/>
        <rFont val="Arial"/>
        <family val="2"/>
      </rPr>
      <t>M1</t>
    </r>
  </si>
  <si>
    <r>
      <t>0,04 *</t>
    </r>
    <r>
      <rPr>
        <i/>
        <sz val="11"/>
        <color indexed="8"/>
        <rFont val="Arial"/>
        <family val="2"/>
      </rPr>
      <t xml:space="preserve"> t *E / f</t>
    </r>
    <r>
      <rPr>
        <i/>
        <vertAlign val="subscript"/>
        <sz val="11"/>
        <color indexed="8"/>
        <rFont val="Arial"/>
        <family val="2"/>
      </rPr>
      <t>y</t>
    </r>
  </si>
  <si>
    <r>
      <t>y</t>
    </r>
    <r>
      <rPr>
        <i/>
        <vertAlign val="subscript"/>
        <sz val="11"/>
        <color indexed="8"/>
        <rFont val="Arial"/>
        <family val="2"/>
      </rPr>
      <t>g</t>
    </r>
  </si>
  <si>
    <r>
      <t>I</t>
    </r>
    <r>
      <rPr>
        <i/>
        <vertAlign val="subscript"/>
        <sz val="11"/>
        <color indexed="8"/>
        <rFont val="Arial"/>
        <family val="2"/>
      </rPr>
      <t>eff,z</t>
    </r>
  </si>
  <si>
    <r>
      <t>b</t>
    </r>
    <r>
      <rPr>
        <i/>
        <vertAlign val="subscript"/>
        <sz val="11"/>
        <color indexed="8"/>
        <rFont val="Arial"/>
        <family val="2"/>
      </rPr>
      <t>eff1,v</t>
    </r>
  </si>
  <si>
    <r>
      <t>b</t>
    </r>
    <r>
      <rPr>
        <i/>
        <vertAlign val="subscript"/>
        <sz val="11"/>
        <color indexed="8"/>
        <rFont val="Arial"/>
        <family val="2"/>
      </rPr>
      <t>eff2,v</t>
    </r>
  </si>
  <si>
    <r>
      <t>c</t>
    </r>
    <r>
      <rPr>
        <i/>
        <vertAlign val="subscript"/>
        <sz val="11"/>
        <color indexed="8"/>
        <rFont val="Arial"/>
        <family val="2"/>
      </rPr>
      <t>eff,v</t>
    </r>
  </si>
  <si>
    <r>
      <rPr>
        <i/>
        <sz val="11"/>
        <color indexed="8"/>
        <rFont val="Arial"/>
        <family val="2"/>
      </rPr>
      <t>r</t>
    </r>
    <r>
      <rPr>
        <sz val="11"/>
        <color indexed="8"/>
        <rFont val="Arial"/>
        <family val="2"/>
      </rPr>
      <t xml:space="preserve"> ≤ 5 </t>
    </r>
    <r>
      <rPr>
        <i/>
        <sz val="11"/>
        <color indexed="8"/>
        <rFont val="Arial"/>
        <family val="2"/>
      </rPr>
      <t>t</t>
    </r>
  </si>
  <si>
    <r>
      <rPr>
        <i/>
        <sz val="11"/>
        <color indexed="8"/>
        <rFont val="Arial"/>
        <family val="2"/>
      </rPr>
      <t>r</t>
    </r>
    <r>
      <rPr>
        <sz val="11"/>
        <color indexed="8"/>
        <rFont val="Arial"/>
        <family val="2"/>
      </rPr>
      <t xml:space="preserve"> ≤ 0,1 </t>
    </r>
    <r>
      <rPr>
        <i/>
        <sz val="11"/>
        <color indexed="8"/>
        <rFont val="Arial"/>
        <family val="2"/>
      </rPr>
      <t>b</t>
    </r>
    <r>
      <rPr>
        <i/>
        <vertAlign val="subscript"/>
        <sz val="11"/>
        <color indexed="8"/>
        <rFont val="Arial"/>
        <family val="2"/>
      </rPr>
      <t>p</t>
    </r>
  </si>
  <si>
    <r>
      <t>A</t>
    </r>
    <r>
      <rPr>
        <i/>
        <vertAlign val="subscript"/>
        <sz val="11"/>
        <color indexed="8"/>
        <rFont val="Arial"/>
        <family val="2"/>
      </rPr>
      <t>afronding</t>
    </r>
  </si>
  <si>
    <r>
      <t>y</t>
    </r>
    <r>
      <rPr>
        <i/>
        <vertAlign val="subscript"/>
        <sz val="11"/>
        <color indexed="8"/>
        <rFont val="Arial"/>
        <family val="2"/>
      </rPr>
      <t>g,sh</t>
    </r>
  </si>
  <si>
    <r>
      <t>z</t>
    </r>
    <r>
      <rPr>
        <i/>
        <vertAlign val="subscript"/>
        <sz val="11"/>
        <color indexed="8"/>
        <rFont val="Arial"/>
        <family val="2"/>
      </rPr>
      <t>g,sh</t>
    </r>
  </si>
  <si>
    <r>
      <t>A</t>
    </r>
    <r>
      <rPr>
        <i/>
        <vertAlign val="subscript"/>
        <sz val="11"/>
        <color indexed="8"/>
        <rFont val="Arial"/>
        <family val="2"/>
      </rPr>
      <t>g,sh</t>
    </r>
  </si>
  <si>
    <r>
      <t>I</t>
    </r>
    <r>
      <rPr>
        <i/>
        <vertAlign val="subscript"/>
        <sz val="11"/>
        <color indexed="8"/>
        <rFont val="Arial"/>
        <family val="2"/>
      </rPr>
      <t>g,y,sh</t>
    </r>
  </si>
  <si>
    <r>
      <t>I</t>
    </r>
    <r>
      <rPr>
        <i/>
        <vertAlign val="subscript"/>
        <sz val="11"/>
        <color indexed="8"/>
        <rFont val="Arial"/>
        <family val="2"/>
      </rPr>
      <t>g,z,sh</t>
    </r>
  </si>
  <si>
    <r>
      <t>i</t>
    </r>
    <r>
      <rPr>
        <i/>
        <vertAlign val="subscript"/>
        <sz val="11"/>
        <color indexed="8"/>
        <rFont val="Arial"/>
        <family val="2"/>
      </rPr>
      <t>g,y,sh</t>
    </r>
  </si>
  <si>
    <r>
      <t>i</t>
    </r>
    <r>
      <rPr>
        <i/>
        <vertAlign val="subscript"/>
        <sz val="11"/>
        <color indexed="8"/>
        <rFont val="Arial"/>
        <family val="2"/>
      </rPr>
      <t>g,z,sh</t>
    </r>
  </si>
  <si>
    <r>
      <t>A</t>
    </r>
    <r>
      <rPr>
        <i/>
        <vertAlign val="subscript"/>
        <sz val="11"/>
        <color indexed="8"/>
        <rFont val="Arial"/>
        <family val="2"/>
      </rPr>
      <t>g</t>
    </r>
  </si>
  <si>
    <r>
      <t>z</t>
    </r>
    <r>
      <rPr>
        <i/>
        <vertAlign val="subscript"/>
        <sz val="11"/>
        <color indexed="8"/>
        <rFont val="Arial"/>
        <family val="2"/>
      </rPr>
      <t>g</t>
    </r>
  </si>
  <si>
    <r>
      <t>I</t>
    </r>
    <r>
      <rPr>
        <i/>
        <vertAlign val="subscript"/>
        <sz val="11"/>
        <color indexed="8"/>
        <rFont val="Arial"/>
        <family val="2"/>
      </rPr>
      <t>g,y</t>
    </r>
  </si>
  <si>
    <r>
      <t>I</t>
    </r>
    <r>
      <rPr>
        <i/>
        <vertAlign val="subscript"/>
        <sz val="11"/>
        <color indexed="8"/>
        <rFont val="Arial"/>
        <family val="2"/>
      </rPr>
      <t>g,z</t>
    </r>
  </si>
  <si>
    <r>
      <t>i</t>
    </r>
    <r>
      <rPr>
        <i/>
        <vertAlign val="subscript"/>
        <sz val="11"/>
        <color indexed="8"/>
        <rFont val="Arial"/>
        <family val="2"/>
      </rPr>
      <t>g,y</t>
    </r>
  </si>
  <si>
    <r>
      <t>i</t>
    </r>
    <r>
      <rPr>
        <i/>
        <vertAlign val="subscript"/>
        <sz val="11"/>
        <color indexed="8"/>
        <rFont val="Arial"/>
        <family val="2"/>
      </rPr>
      <t>g,z</t>
    </r>
  </si>
  <si>
    <t>Bepaling eigenschappen effectieve profieldoorsnede</t>
  </si>
  <si>
    <r>
      <rPr>
        <i/>
        <sz val="11"/>
        <color indexed="8"/>
        <rFont val="Calibri"/>
        <family val="2"/>
      </rPr>
      <t>σ</t>
    </r>
    <r>
      <rPr>
        <i/>
        <vertAlign val="subscript"/>
        <sz val="11"/>
        <color indexed="8"/>
        <rFont val="Arial"/>
        <family val="2"/>
      </rPr>
      <t>cr</t>
    </r>
  </si>
  <si>
    <r>
      <t>1 &gt;</t>
    </r>
    <r>
      <rPr>
        <i/>
        <sz val="11"/>
        <color indexed="8"/>
        <rFont val="Arial"/>
        <family val="2"/>
      </rPr>
      <t xml:space="preserve"> ψ</t>
    </r>
    <r>
      <rPr>
        <sz val="11"/>
        <color indexed="8"/>
        <rFont val="Arial"/>
        <family val="2"/>
      </rPr>
      <t xml:space="preserve"> ≥ 0</t>
    </r>
  </si>
  <si>
    <r>
      <t xml:space="preserve">0 &gt; </t>
    </r>
    <r>
      <rPr>
        <i/>
        <sz val="11"/>
        <color indexed="8"/>
        <rFont val="Arial"/>
        <family val="2"/>
      </rPr>
      <t>ψ</t>
    </r>
    <r>
      <rPr>
        <sz val="11"/>
        <color indexed="8"/>
        <rFont val="Arial"/>
        <family val="2"/>
      </rPr>
      <t xml:space="preserve"> ≥ -1</t>
    </r>
  </si>
  <si>
    <r>
      <t xml:space="preserve">-1 &gt; </t>
    </r>
    <r>
      <rPr>
        <i/>
        <sz val="11"/>
        <color indexed="8"/>
        <rFont val="Arial"/>
        <family val="2"/>
      </rPr>
      <t>ψ</t>
    </r>
    <r>
      <rPr>
        <sz val="11"/>
        <color indexed="8"/>
        <rFont val="Arial"/>
        <family val="2"/>
      </rPr>
      <t xml:space="preserve"> ≥ -3</t>
    </r>
  </si>
  <si>
    <t xml:space="preserve">OUTPUT </t>
  </si>
  <si>
    <t xml:space="preserve">Eigenschappen effectieve doorsnede </t>
  </si>
  <si>
    <r>
      <t>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>=h</t>
    </r>
    <r>
      <rPr>
        <i/>
        <vertAlign val="subscript"/>
        <sz val="11"/>
        <color indexed="8"/>
        <rFont val="Arial"/>
        <family val="2"/>
      </rPr>
      <t>w</t>
    </r>
  </si>
  <si>
    <r>
      <t>h</t>
    </r>
    <r>
      <rPr>
        <i/>
        <vertAlign val="subscript"/>
        <sz val="11"/>
        <color indexed="8"/>
        <rFont val="Arial"/>
        <family val="2"/>
      </rPr>
      <t>p</t>
    </r>
  </si>
  <si>
    <r>
      <t>b</t>
    </r>
    <r>
      <rPr>
        <i/>
        <vertAlign val="subscript"/>
        <sz val="11"/>
        <color indexed="8"/>
        <rFont val="Arial"/>
        <family val="2"/>
      </rPr>
      <t>m</t>
    </r>
  </si>
  <si>
    <r>
      <t>b</t>
    </r>
    <r>
      <rPr>
        <i/>
        <vertAlign val="subscript"/>
        <sz val="11"/>
        <color indexed="8"/>
        <rFont val="Arial"/>
        <family val="2"/>
      </rPr>
      <t>v</t>
    </r>
  </si>
  <si>
    <r>
      <t>b</t>
    </r>
    <r>
      <rPr>
        <i/>
        <vertAlign val="subscript"/>
        <sz val="11"/>
        <color indexed="8"/>
        <rFont val="Arial"/>
        <family val="2"/>
      </rPr>
      <t>p</t>
    </r>
  </si>
  <si>
    <r>
      <t>c</t>
    </r>
    <r>
      <rPr>
        <i/>
        <vertAlign val="subscript"/>
        <sz val="11"/>
        <color indexed="8"/>
        <rFont val="Arial"/>
        <family val="2"/>
      </rPr>
      <t>m</t>
    </r>
  </si>
  <si>
    <r>
      <t>c</t>
    </r>
    <r>
      <rPr>
        <i/>
        <vertAlign val="subscript"/>
        <sz val="11"/>
        <color indexed="8"/>
        <rFont val="Arial"/>
        <family val="2"/>
      </rPr>
      <t>v</t>
    </r>
  </si>
  <si>
    <r>
      <t>c</t>
    </r>
    <r>
      <rPr>
        <i/>
        <vertAlign val="subscript"/>
        <sz val="11"/>
        <color indexed="8"/>
        <rFont val="Arial"/>
        <family val="2"/>
      </rPr>
      <t>p</t>
    </r>
  </si>
  <si>
    <r>
      <t>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= r + t/2</t>
    </r>
  </si>
  <si>
    <r>
      <t>g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 xml:space="preserve"> = 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* (tan 45° - sin 45°)</t>
    </r>
  </si>
  <si>
    <r>
      <t>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 xml:space="preserve"> = 0,637 * r</t>
    </r>
    <r>
      <rPr>
        <i/>
        <vertAlign val="subscript"/>
        <sz val="11"/>
        <color indexed="8"/>
        <rFont val="Arial"/>
        <family val="2"/>
      </rPr>
      <t>m</t>
    </r>
  </si>
  <si>
    <r>
      <t>I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 xml:space="preserve"> = 0,149 * r</t>
    </r>
    <r>
      <rPr>
        <i/>
        <vertAlign val="subscript"/>
        <sz val="11"/>
        <color indexed="8"/>
        <rFont val="Arial"/>
        <family val="2"/>
      </rPr>
      <t>m</t>
    </r>
    <r>
      <rPr>
        <i/>
        <vertAlign val="superscript"/>
        <sz val="11"/>
        <color indexed="8"/>
        <rFont val="Arial"/>
        <family val="2"/>
      </rPr>
      <t>3</t>
    </r>
    <r>
      <rPr>
        <i/>
        <sz val="11"/>
        <color indexed="8"/>
        <rFont val="Arial"/>
        <family val="2"/>
      </rPr>
      <t xml:space="preserve"> * t</t>
    </r>
  </si>
  <si>
    <r>
      <rPr>
        <i/>
        <sz val="11"/>
        <color indexed="8"/>
        <rFont val="Mistral"/>
        <family val="4"/>
      </rPr>
      <t>l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 xml:space="preserve"> = ½ * π * r</t>
    </r>
    <r>
      <rPr>
        <i/>
        <vertAlign val="subscript"/>
        <sz val="11"/>
        <color indexed="8"/>
        <rFont val="Arial"/>
        <family val="2"/>
      </rPr>
      <t>m</t>
    </r>
  </si>
  <si>
    <r>
      <t>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 xml:space="preserve"> = </t>
    </r>
    <r>
      <rPr>
        <i/>
        <sz val="11"/>
        <color indexed="8"/>
        <rFont val="Mistral"/>
        <family val="4"/>
      </rPr>
      <t>l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 xml:space="preserve"> * t</t>
    </r>
  </si>
  <si>
    <r>
      <t>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= h – t</t>
    </r>
  </si>
  <si>
    <r>
      <t>b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= b – t</t>
    </r>
  </si>
  <si>
    <r>
      <t>c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= c – ½ * t</t>
    </r>
  </si>
  <si>
    <r>
      <t>h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= 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2 * r</t>
    </r>
    <r>
      <rPr>
        <i/>
        <vertAlign val="subscript"/>
        <sz val="11"/>
        <color indexed="8"/>
        <rFont val="Arial"/>
        <family val="2"/>
      </rPr>
      <t>m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</si>
  <si>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v </t>
    </r>
    <r>
      <rPr>
        <i/>
        <sz val="11"/>
        <color indexed="8"/>
        <rFont val="Arial"/>
        <family val="2"/>
      </rPr>
      <t>= b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2 * r</t>
    </r>
    <r>
      <rPr>
        <i/>
        <vertAlign val="subscript"/>
        <sz val="11"/>
        <color indexed="8"/>
        <rFont val="Arial"/>
        <family val="2"/>
      </rPr>
      <t>m</t>
    </r>
  </si>
  <si>
    <r>
      <t>c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= c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r</t>
    </r>
    <r>
      <rPr>
        <i/>
        <vertAlign val="subscript"/>
        <sz val="11"/>
        <color indexed="8"/>
        <rFont val="Arial"/>
        <family val="2"/>
      </rPr>
      <t>m</t>
    </r>
  </si>
  <si>
    <r>
      <t>h</t>
    </r>
    <r>
      <rPr>
        <i/>
        <vertAlign val="subscript"/>
        <sz val="11"/>
        <color indexed="8"/>
        <rFont val="Arial"/>
        <family val="2"/>
      </rPr>
      <t xml:space="preserve">p </t>
    </r>
    <r>
      <rPr>
        <i/>
        <sz val="11"/>
        <color indexed="8"/>
        <rFont val="Arial"/>
        <family val="2"/>
      </rPr>
      <t>= 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2 * g</t>
    </r>
    <r>
      <rPr>
        <i/>
        <vertAlign val="subscript"/>
        <sz val="11"/>
        <color indexed="8"/>
        <rFont val="Arial"/>
        <family val="2"/>
      </rPr>
      <t>r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</si>
  <si>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p </t>
    </r>
    <r>
      <rPr>
        <i/>
        <sz val="11"/>
        <color indexed="8"/>
        <rFont val="Arial"/>
        <family val="2"/>
      </rPr>
      <t>= b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2 * g</t>
    </r>
    <r>
      <rPr>
        <i/>
        <vertAlign val="subscript"/>
        <sz val="11"/>
        <color indexed="8"/>
        <rFont val="Arial"/>
        <family val="2"/>
      </rPr>
      <t>r</t>
    </r>
  </si>
  <si>
    <r>
      <t>c</t>
    </r>
    <r>
      <rPr>
        <i/>
        <vertAlign val="subscript"/>
        <sz val="11"/>
        <color indexed="8"/>
        <rFont val="Arial"/>
        <family val="2"/>
      </rPr>
      <t>p</t>
    </r>
    <r>
      <rPr>
        <i/>
        <sz val="11"/>
        <color indexed="8"/>
        <rFont val="Arial"/>
        <family val="2"/>
      </rPr>
      <t xml:space="preserve"> = c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- g</t>
    </r>
    <r>
      <rPr>
        <i/>
        <vertAlign val="subscript"/>
        <sz val="11"/>
        <color indexed="8"/>
        <rFont val="Arial"/>
        <family val="2"/>
      </rPr>
      <t>r</t>
    </r>
  </si>
  <si>
    <r>
      <t>A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 xml:space="preserve"> = (t * h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>) + (2 * b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t) + (2 * t * c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>) + (4 * 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>)</t>
    </r>
  </si>
  <si>
    <r>
      <t>y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 xml:space="preserve"> = [ (h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 * ½ *t) + (2 * 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 xml:space="preserve"> *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 xml:space="preserve"> + ½ * t)) + (2 * b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 * ½ * b) + (2 * 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 xml:space="preserve"> * (b – (½ * t) +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))) + (2 * c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 * (b – (½ * t)) ] / A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 xml:space="preserve"> – (½ * t)</t>
    </r>
  </si>
  <si>
    <r>
      <t>z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 xml:space="preserve"> = 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/ 2</t>
    </r>
  </si>
  <si>
    <r>
      <t>I</t>
    </r>
    <r>
      <rPr>
        <i/>
        <vertAlign val="subscript"/>
        <sz val="11"/>
        <color indexed="8"/>
        <rFont val="Arial"/>
        <family val="2"/>
      </rPr>
      <t>g,y</t>
    </r>
    <r>
      <rPr>
        <i/>
        <sz val="11"/>
        <color indexed="8"/>
        <rFont val="Arial"/>
        <family val="2"/>
      </rPr>
      <t xml:space="preserve"> = 2 * (b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 * (½ * 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>)²)) + (1/12 * t * h</t>
    </r>
    <r>
      <rPr>
        <i/>
        <vertAlign val="subscript"/>
        <sz val="11"/>
        <color indexed="8"/>
        <rFont val="Arial"/>
        <family val="2"/>
      </rPr>
      <t>v</t>
    </r>
    <r>
      <rPr>
        <i/>
        <vertAlign val="superscript"/>
        <sz val="11"/>
        <color indexed="8"/>
        <rFont val="Arial"/>
        <family val="2"/>
      </rPr>
      <t>3</t>
    </r>
    <r>
      <rPr>
        <i/>
        <sz val="11"/>
        <color indexed="8"/>
        <rFont val="Arial"/>
        <family val="2"/>
      </rPr>
      <t>) + (4 * (I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 xml:space="preserve"> + (A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 xml:space="preserve"> * ((½ * h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>) +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)²))) + (2 * ((1/12 * t * c</t>
    </r>
    <r>
      <rPr>
        <i/>
        <vertAlign val="subscript"/>
        <sz val="11"/>
        <color indexed="8"/>
        <rFont val="Arial"/>
        <family val="2"/>
      </rPr>
      <t>v</t>
    </r>
    <r>
      <rPr>
        <i/>
        <vertAlign val="superscript"/>
        <sz val="11"/>
        <color indexed="8"/>
        <rFont val="Arial"/>
        <family val="2"/>
      </rPr>
      <t>3</t>
    </r>
    <r>
      <rPr>
        <i/>
        <sz val="11"/>
        <color indexed="8"/>
        <rFont val="Arial"/>
        <family val="2"/>
      </rPr>
      <t>) + (t * c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((½ * h) – c + (½ * c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>))²)))</t>
    </r>
  </si>
  <si>
    <r>
      <t>I</t>
    </r>
    <r>
      <rPr>
        <i/>
        <vertAlign val="subscript"/>
        <sz val="11"/>
        <color indexed="8"/>
        <rFont val="Arial"/>
        <family val="2"/>
      </rPr>
      <t>g,z</t>
    </r>
    <r>
      <rPr>
        <i/>
        <sz val="11"/>
        <color indexed="8"/>
        <rFont val="Arial"/>
        <family val="2"/>
      </rPr>
      <t xml:space="preserve"> = 2 * (h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 * y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>²) + (2 * (I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 xml:space="preserve"> + (A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 xml:space="preserve"> * (y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 xml:space="preserve"> –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))²))) + (2 * (t * b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((½ * b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>) – y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>)²)) + (2* (I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 xml:space="preserve"> + (A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 xml:space="preserve"> * (b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 – y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>)²))) + (2 *  (c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 * (b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y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>)²))</t>
    </r>
  </si>
  <si>
    <r>
      <t>i</t>
    </r>
    <r>
      <rPr>
        <i/>
        <vertAlign val="subscript"/>
        <sz val="11"/>
        <color indexed="8"/>
        <rFont val="Arial"/>
        <family val="2"/>
      </rPr>
      <t>g,y</t>
    </r>
    <r>
      <rPr>
        <i/>
        <sz val="11"/>
        <color indexed="8"/>
        <rFont val="Arial"/>
        <family val="2"/>
      </rPr>
      <t xml:space="preserve"> = √ (I</t>
    </r>
    <r>
      <rPr>
        <i/>
        <vertAlign val="subscript"/>
        <sz val="11"/>
        <color indexed="8"/>
        <rFont val="Arial"/>
        <family val="2"/>
      </rPr>
      <t>g,y</t>
    </r>
    <r>
      <rPr>
        <i/>
        <sz val="11"/>
        <color indexed="8"/>
        <rFont val="Arial"/>
        <family val="2"/>
      </rPr>
      <t xml:space="preserve"> / A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>)</t>
    </r>
  </si>
  <si>
    <r>
      <t>i</t>
    </r>
    <r>
      <rPr>
        <i/>
        <vertAlign val="subscript"/>
        <sz val="11"/>
        <color indexed="8"/>
        <rFont val="Arial"/>
        <family val="2"/>
      </rPr>
      <t>g,z</t>
    </r>
    <r>
      <rPr>
        <i/>
        <sz val="11"/>
        <color indexed="8"/>
        <rFont val="Arial"/>
        <family val="2"/>
      </rPr>
      <t xml:space="preserve"> = √ (I</t>
    </r>
    <r>
      <rPr>
        <i/>
        <vertAlign val="subscript"/>
        <sz val="11"/>
        <color indexed="8"/>
        <rFont val="Arial"/>
        <family val="2"/>
      </rPr>
      <t>g,z</t>
    </r>
    <r>
      <rPr>
        <i/>
        <sz val="11"/>
        <color indexed="8"/>
        <rFont val="Arial"/>
        <family val="2"/>
      </rPr>
      <t xml:space="preserve"> / A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>)</t>
    </r>
  </si>
  <si>
    <r>
      <t>A</t>
    </r>
    <r>
      <rPr>
        <i/>
        <vertAlign val="subscript"/>
        <sz val="12"/>
        <color indexed="8"/>
        <rFont val="Arial"/>
        <family val="2"/>
      </rPr>
      <t>afronding</t>
    </r>
  </si>
  <si>
    <r>
      <t>l</t>
    </r>
    <r>
      <rPr>
        <i/>
        <vertAlign val="subscript"/>
        <sz val="11"/>
        <color indexed="8"/>
        <rFont val="Arial"/>
        <family val="2"/>
      </rPr>
      <t>r</t>
    </r>
  </si>
  <si>
    <r>
      <t>c</t>
    </r>
    <r>
      <rPr>
        <vertAlign val="subscript"/>
        <sz val="11"/>
        <color indexed="8"/>
        <rFont val="Arial"/>
        <family val="2"/>
      </rPr>
      <t>m</t>
    </r>
  </si>
  <si>
    <r>
      <t>c</t>
    </r>
    <r>
      <rPr>
        <vertAlign val="subscript"/>
        <sz val="11"/>
        <color indexed="8"/>
        <rFont val="Arial"/>
        <family val="2"/>
      </rPr>
      <t>v</t>
    </r>
  </si>
  <si>
    <r>
      <t>c</t>
    </r>
    <r>
      <rPr>
        <vertAlign val="subscript"/>
        <sz val="11"/>
        <color indexed="8"/>
        <rFont val="Arial"/>
        <family val="2"/>
      </rPr>
      <t>p</t>
    </r>
  </si>
  <si>
    <t>Waarde</t>
  </si>
  <si>
    <t>trekzone lijf</t>
  </si>
  <si>
    <t>drukzone lijf</t>
  </si>
  <si>
    <r>
      <t>b</t>
    </r>
    <r>
      <rPr>
        <i/>
        <vertAlign val="subscript"/>
        <sz val="11"/>
        <color indexed="8"/>
        <rFont val="Arial"/>
        <family val="2"/>
      </rPr>
      <t>eff1</t>
    </r>
  </si>
  <si>
    <r>
      <t>b</t>
    </r>
    <r>
      <rPr>
        <i/>
        <vertAlign val="subscript"/>
        <sz val="11"/>
        <color indexed="8"/>
        <rFont val="Arial"/>
        <family val="2"/>
      </rPr>
      <t>eff2</t>
    </r>
  </si>
  <si>
    <r>
      <t>σ</t>
    </r>
    <r>
      <rPr>
        <i/>
        <vertAlign val="subscript"/>
        <sz val="11"/>
        <color indexed="8"/>
        <rFont val="Arial"/>
        <family val="2"/>
      </rPr>
      <t xml:space="preserve">cr </t>
    </r>
    <r>
      <rPr>
        <i/>
        <sz val="11"/>
        <color indexed="8"/>
        <rFont val="Arial"/>
        <family val="2"/>
      </rPr>
      <t>= f</t>
    </r>
    <r>
      <rPr>
        <i/>
        <vertAlign val="subscript"/>
        <sz val="11"/>
        <color indexed="8"/>
        <rFont val="Arial"/>
        <family val="2"/>
      </rPr>
      <t>y;b</t>
    </r>
    <r>
      <rPr>
        <i/>
        <sz val="11"/>
        <color indexed="8"/>
        <rFont val="Arial"/>
        <family val="2"/>
      </rPr>
      <t xml:space="preserve"> /λ</t>
    </r>
    <r>
      <rPr>
        <i/>
        <vertAlign val="subscript"/>
        <sz val="11"/>
        <color indexed="8"/>
        <rFont val="Arial"/>
        <family val="2"/>
      </rPr>
      <t>p;red</t>
    </r>
    <r>
      <rPr>
        <i/>
        <vertAlign val="superscript"/>
        <sz val="11"/>
        <color indexed="8"/>
        <rFont val="Arial"/>
        <family val="2"/>
      </rPr>
      <t>2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</si>
  <si>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t </t>
    </r>
    <r>
      <rPr>
        <i/>
        <sz val="11"/>
        <color indexed="8"/>
        <rFont val="Arial"/>
        <family val="2"/>
      </rPr>
      <t>= y</t>
    </r>
    <r>
      <rPr>
        <i/>
        <vertAlign val="subscript"/>
        <sz val="11"/>
        <color indexed="8"/>
        <rFont val="Arial"/>
        <family val="2"/>
      </rPr>
      <t xml:space="preserve">g  </t>
    </r>
    <r>
      <rPr>
        <i/>
        <sz val="11"/>
        <color indexed="8"/>
        <rFont val="Arial"/>
        <family val="2"/>
      </rPr>
      <t>- g</t>
    </r>
    <r>
      <rPr>
        <i/>
        <vertAlign val="subscript"/>
        <sz val="11"/>
        <color indexed="8"/>
        <rFont val="Arial"/>
        <family val="2"/>
      </rPr>
      <t>r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</si>
  <si>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t;v </t>
    </r>
    <r>
      <rPr>
        <i/>
        <sz val="11"/>
        <color indexed="8"/>
        <rFont val="Arial"/>
        <family val="2"/>
      </rPr>
      <t>= b</t>
    </r>
    <r>
      <rPr>
        <i/>
        <vertAlign val="subscript"/>
        <sz val="11"/>
        <color indexed="8"/>
        <rFont val="Arial"/>
        <family val="2"/>
      </rPr>
      <t>t 1</t>
    </r>
    <r>
      <rPr>
        <i/>
        <sz val="11"/>
        <color indexed="8"/>
        <rFont val="Arial"/>
        <family val="2"/>
      </rPr>
      <t xml:space="preserve"> + g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 xml:space="preserve"> - r</t>
    </r>
    <r>
      <rPr>
        <i/>
        <vertAlign val="subscript"/>
        <sz val="11"/>
        <color indexed="8"/>
        <rFont val="Arial"/>
        <family val="2"/>
      </rPr>
      <t>m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</si>
  <si>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c </t>
    </r>
    <r>
      <rPr>
        <i/>
        <sz val="11"/>
        <color indexed="8"/>
        <rFont val="Arial"/>
        <family val="2"/>
      </rPr>
      <t>= b - b</t>
    </r>
    <r>
      <rPr>
        <i/>
        <vertAlign val="subscript"/>
        <sz val="11"/>
        <color indexed="8"/>
        <rFont val="Arial"/>
        <family val="2"/>
      </rPr>
      <t>t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</si>
  <si>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eff  </t>
    </r>
    <r>
      <rPr>
        <i/>
        <sz val="11"/>
        <color indexed="8"/>
        <rFont val="Arial"/>
        <family val="2"/>
      </rPr>
      <t>= ρ * b</t>
    </r>
    <r>
      <rPr>
        <i/>
        <vertAlign val="subscript"/>
        <sz val="11"/>
        <color indexed="8"/>
        <rFont val="Arial"/>
        <family val="2"/>
      </rPr>
      <t>c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</si>
  <si>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eff 1 </t>
    </r>
    <r>
      <rPr>
        <i/>
        <sz val="11"/>
        <color indexed="8"/>
        <rFont val="Arial"/>
        <family val="2"/>
      </rPr>
      <t>= b</t>
    </r>
    <r>
      <rPr>
        <i/>
        <vertAlign val="subscript"/>
        <sz val="11"/>
        <color indexed="8"/>
        <rFont val="Arial"/>
        <family val="2"/>
      </rPr>
      <t>e 1</t>
    </r>
    <r>
      <rPr>
        <i/>
        <sz val="11"/>
        <color indexed="8"/>
        <rFont val="Arial"/>
        <family val="2"/>
      </rPr>
      <t xml:space="preserve"> = 0,4 * b</t>
    </r>
    <r>
      <rPr>
        <i/>
        <vertAlign val="subscript"/>
        <sz val="11"/>
        <color indexed="8"/>
        <rFont val="Arial"/>
        <family val="2"/>
      </rPr>
      <t>eff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</si>
  <si>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eff 2 </t>
    </r>
    <r>
      <rPr>
        <i/>
        <sz val="11"/>
        <color indexed="8"/>
        <rFont val="Arial"/>
        <family val="2"/>
      </rPr>
      <t>= b</t>
    </r>
    <r>
      <rPr>
        <i/>
        <vertAlign val="subscript"/>
        <sz val="11"/>
        <color indexed="8"/>
        <rFont val="Arial"/>
        <family val="2"/>
      </rPr>
      <t>e 2</t>
    </r>
    <r>
      <rPr>
        <i/>
        <sz val="11"/>
        <color indexed="8"/>
        <rFont val="Arial"/>
        <family val="2"/>
      </rPr>
      <t xml:space="preserve"> = 0,6 * b</t>
    </r>
    <r>
      <rPr>
        <i/>
        <vertAlign val="subscript"/>
        <sz val="11"/>
        <color indexed="8"/>
        <rFont val="Arial"/>
        <family val="2"/>
      </rPr>
      <t>eff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</si>
  <si>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eff 1,m </t>
    </r>
    <r>
      <rPr>
        <i/>
        <sz val="11"/>
        <color indexed="8"/>
        <rFont val="Arial"/>
        <family val="2"/>
      </rPr>
      <t>= b</t>
    </r>
    <r>
      <rPr>
        <i/>
        <vertAlign val="subscript"/>
        <sz val="11"/>
        <color indexed="8"/>
        <rFont val="Arial"/>
        <family val="2"/>
      </rPr>
      <t>eff 1</t>
    </r>
    <r>
      <rPr>
        <i/>
        <sz val="11"/>
        <color indexed="8"/>
        <rFont val="Arial"/>
        <family val="2"/>
      </rPr>
      <t xml:space="preserve"> + g</t>
    </r>
    <r>
      <rPr>
        <i/>
        <vertAlign val="subscript"/>
        <sz val="11"/>
        <color indexed="8"/>
        <rFont val="Arial"/>
        <family val="2"/>
      </rPr>
      <t>r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</si>
  <si>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eff1,v </t>
    </r>
    <r>
      <rPr>
        <i/>
        <sz val="11"/>
        <color indexed="8"/>
        <rFont val="Arial"/>
        <family val="2"/>
      </rPr>
      <t>= b</t>
    </r>
    <r>
      <rPr>
        <i/>
        <vertAlign val="subscript"/>
        <sz val="11"/>
        <color indexed="8"/>
        <rFont val="Arial"/>
        <family val="2"/>
      </rPr>
      <t>eff 1,m</t>
    </r>
    <r>
      <rPr>
        <i/>
        <sz val="11"/>
        <color indexed="8"/>
        <rFont val="Arial"/>
        <family val="2"/>
      </rPr>
      <t xml:space="preserve"> - r</t>
    </r>
    <r>
      <rPr>
        <i/>
        <vertAlign val="subscript"/>
        <sz val="11"/>
        <color indexed="8"/>
        <rFont val="Arial"/>
        <family val="2"/>
      </rPr>
      <t>m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</si>
  <si>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eff 2,v </t>
    </r>
    <r>
      <rPr>
        <i/>
        <sz val="11"/>
        <color indexed="8"/>
        <rFont val="Arial"/>
        <family val="2"/>
      </rPr>
      <t>= b</t>
    </r>
    <r>
      <rPr>
        <i/>
        <vertAlign val="subscript"/>
        <sz val="11"/>
        <color indexed="8"/>
        <rFont val="Arial"/>
        <family val="2"/>
      </rPr>
      <t>eff 2</t>
    </r>
  </si>
  <si>
    <r>
      <t>Ψ</t>
    </r>
    <r>
      <rPr>
        <i/>
        <vertAlign val="subscript"/>
        <sz val="11"/>
        <color indexed="8"/>
        <rFont val="Arial"/>
        <family val="2"/>
      </rPr>
      <t xml:space="preserve"> </t>
    </r>
    <r>
      <rPr>
        <i/>
        <sz val="11"/>
        <color indexed="8"/>
        <rFont val="Arial"/>
        <family val="2"/>
      </rPr>
      <t>= -b</t>
    </r>
    <r>
      <rPr>
        <i/>
        <vertAlign val="subscript"/>
        <sz val="11"/>
        <color indexed="8"/>
        <rFont val="Arial"/>
        <family val="2"/>
      </rPr>
      <t>t /</t>
    </r>
    <r>
      <rPr>
        <i/>
        <sz val="11"/>
        <color indexed="8"/>
        <rFont val="Arial"/>
        <family val="2"/>
      </rPr>
      <t>b</t>
    </r>
    <r>
      <rPr>
        <i/>
        <vertAlign val="subscript"/>
        <sz val="11"/>
        <color indexed="8"/>
        <rFont val="Arial"/>
        <family val="2"/>
      </rPr>
      <t>c</t>
    </r>
  </si>
  <si>
    <r>
      <t>b</t>
    </r>
    <r>
      <rPr>
        <i/>
        <vertAlign val="subscript"/>
        <sz val="11"/>
        <color indexed="8"/>
        <rFont val="Arial"/>
        <family val="2"/>
      </rPr>
      <t>eff1,m</t>
    </r>
  </si>
  <si>
    <r>
      <t>c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 xml:space="preserve"> = ρ * c</t>
    </r>
    <r>
      <rPr>
        <i/>
        <vertAlign val="subscript"/>
        <sz val="11"/>
        <color indexed="8"/>
        <rFont val="Arial"/>
        <family val="2"/>
      </rPr>
      <t>p</t>
    </r>
  </si>
  <si>
    <r>
      <t>c</t>
    </r>
    <r>
      <rPr>
        <i/>
        <vertAlign val="subscript"/>
        <sz val="11"/>
        <color indexed="8"/>
        <rFont val="Arial"/>
        <family val="2"/>
      </rPr>
      <t xml:space="preserve">eff ,m </t>
    </r>
    <r>
      <rPr>
        <i/>
        <sz val="11"/>
        <color indexed="8"/>
        <rFont val="Arial"/>
        <family val="2"/>
      </rPr>
      <t>= c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 xml:space="preserve"> + g</t>
    </r>
    <r>
      <rPr>
        <i/>
        <vertAlign val="subscript"/>
        <sz val="11"/>
        <color indexed="8"/>
        <rFont val="Arial"/>
        <family val="2"/>
      </rPr>
      <t>r</t>
    </r>
  </si>
  <si>
    <r>
      <t>c</t>
    </r>
    <r>
      <rPr>
        <i/>
        <vertAlign val="subscript"/>
        <sz val="11"/>
        <color indexed="8"/>
        <rFont val="Arial"/>
        <family val="2"/>
      </rPr>
      <t xml:space="preserve">eff ,v </t>
    </r>
    <r>
      <rPr>
        <i/>
        <sz val="11"/>
        <color indexed="8"/>
        <rFont val="Arial"/>
        <family val="2"/>
      </rPr>
      <t>= c</t>
    </r>
    <r>
      <rPr>
        <i/>
        <vertAlign val="subscript"/>
        <sz val="11"/>
        <color indexed="8"/>
        <rFont val="Arial"/>
        <family val="2"/>
      </rPr>
      <t>eff ,m</t>
    </r>
    <r>
      <rPr>
        <i/>
        <sz val="11"/>
        <color indexed="8"/>
        <rFont val="Arial"/>
        <family val="2"/>
      </rPr>
      <t xml:space="preserve"> - r</t>
    </r>
    <r>
      <rPr>
        <i/>
        <vertAlign val="subscript"/>
        <sz val="11"/>
        <color indexed="8"/>
        <rFont val="Arial"/>
        <family val="2"/>
      </rPr>
      <t>m</t>
    </r>
  </si>
  <si>
    <r>
      <t>b</t>
    </r>
    <r>
      <rPr>
        <i/>
        <vertAlign val="subscript"/>
        <sz val="11"/>
        <color indexed="8"/>
        <rFont val="Arial"/>
        <family val="2"/>
      </rPr>
      <t>1</t>
    </r>
    <r>
      <rPr>
        <i/>
        <sz val="11"/>
        <color indexed="8"/>
        <rFont val="Arial"/>
        <family val="2"/>
      </rPr>
      <t xml:space="preserve"> = b</t>
    </r>
    <r>
      <rPr>
        <i/>
        <vertAlign val="subscript"/>
        <sz val="11"/>
        <color indexed="8"/>
        <rFont val="Arial"/>
        <family val="2"/>
      </rPr>
      <t>p</t>
    </r>
    <r>
      <rPr>
        <i/>
        <sz val="11"/>
        <color indexed="8"/>
        <rFont val="Arial"/>
        <family val="2"/>
      </rPr>
      <t xml:space="preserve"> + 2*g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 xml:space="preserve"> - e</t>
    </r>
    <r>
      <rPr>
        <i/>
        <vertAlign val="subscript"/>
        <sz val="11"/>
        <color indexed="8"/>
        <rFont val="Arial"/>
        <family val="2"/>
      </rPr>
      <t>b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</si>
  <si>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2 </t>
    </r>
    <r>
      <rPr>
        <i/>
        <sz val="11"/>
        <color indexed="8"/>
        <rFont val="Arial"/>
        <family val="2"/>
      </rPr>
      <t>= b</t>
    </r>
    <r>
      <rPr>
        <i/>
        <vertAlign val="subscript"/>
        <sz val="11"/>
        <color indexed="8"/>
        <rFont val="Arial"/>
        <family val="2"/>
      </rPr>
      <t>p</t>
    </r>
    <r>
      <rPr>
        <i/>
        <sz val="11"/>
        <color indexed="8"/>
        <rFont val="Arial"/>
        <family val="2"/>
      </rPr>
      <t xml:space="preserve"> + 2*g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 xml:space="preserve"> - e</t>
    </r>
    <r>
      <rPr>
        <i/>
        <vertAlign val="subscript"/>
        <sz val="11"/>
        <color indexed="8"/>
        <rFont val="Arial"/>
        <family val="2"/>
      </rPr>
      <t>b</t>
    </r>
  </si>
  <si>
    <r>
      <t>σ</t>
    </r>
    <r>
      <rPr>
        <i/>
        <vertAlign val="subscript"/>
        <sz val="11"/>
        <color indexed="8"/>
        <rFont val="Arial"/>
        <family val="2"/>
      </rPr>
      <t>com,Ed</t>
    </r>
    <r>
      <rPr>
        <i/>
        <sz val="11"/>
        <color indexed="8"/>
        <rFont val="Arial"/>
        <family val="2"/>
      </rPr>
      <t xml:space="preserve"> = (((0,5 * 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>) – e</t>
    </r>
    <r>
      <rPr>
        <i/>
        <vertAlign val="subscript"/>
        <sz val="11"/>
        <color indexed="8"/>
        <rFont val="Arial"/>
        <family val="2"/>
      </rPr>
      <t>a</t>
    </r>
    <r>
      <rPr>
        <i/>
        <sz val="11"/>
        <color indexed="8"/>
        <rFont val="Arial"/>
        <family val="2"/>
      </rPr>
      <t>) * f</t>
    </r>
    <r>
      <rPr>
        <i/>
        <vertAlign val="subscript"/>
        <sz val="11"/>
        <color indexed="8"/>
        <rFont val="Arial"/>
        <family val="2"/>
      </rPr>
      <t>yb</t>
    </r>
    <r>
      <rPr>
        <i/>
        <sz val="11"/>
        <color indexed="8"/>
        <rFont val="Arial"/>
        <family val="2"/>
      </rPr>
      <t>) / (0,5 * 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>)</t>
    </r>
  </si>
  <si>
    <r>
      <t>A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 xml:space="preserve"> = ((h</t>
    </r>
    <r>
      <rPr>
        <i/>
        <vertAlign val="subscript"/>
        <sz val="11"/>
        <color indexed="8"/>
        <rFont val="Arial"/>
        <family val="2"/>
      </rPr>
      <t>,v</t>
    </r>
    <r>
      <rPr>
        <i/>
        <sz val="11"/>
        <color indexed="8"/>
        <rFont val="Arial"/>
        <family val="2"/>
      </rPr>
      <t xml:space="preserve">  + 2 * (b</t>
    </r>
    <r>
      <rPr>
        <i/>
        <vertAlign val="subscript"/>
        <sz val="11"/>
        <color indexed="8"/>
        <rFont val="Arial"/>
        <family val="2"/>
      </rPr>
      <t>eff 2,v</t>
    </r>
    <r>
      <rPr>
        <i/>
        <sz val="11"/>
        <color indexed="8"/>
        <rFont val="Arial"/>
        <family val="2"/>
      </rPr>
      <t xml:space="preserve"> + b</t>
    </r>
    <r>
      <rPr>
        <i/>
        <vertAlign val="subscript"/>
        <sz val="11"/>
        <color indexed="8"/>
        <rFont val="Arial"/>
        <family val="2"/>
      </rPr>
      <t>t,v</t>
    </r>
    <r>
      <rPr>
        <i/>
        <sz val="11"/>
        <color indexed="8"/>
        <rFont val="Arial"/>
        <family val="2"/>
      </rPr>
      <t>) + (2 * 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>)) * t) + (c</t>
    </r>
    <r>
      <rPr>
        <i/>
        <vertAlign val="subscript"/>
        <sz val="11"/>
        <color indexed="8"/>
        <rFont val="Arial"/>
        <family val="2"/>
      </rPr>
      <t>eff,v</t>
    </r>
    <r>
      <rPr>
        <i/>
        <sz val="11"/>
        <color indexed="8"/>
        <rFont val="Arial"/>
        <family val="2"/>
      </rPr>
      <t xml:space="preserve"> + b</t>
    </r>
    <r>
      <rPr>
        <i/>
        <vertAlign val="subscript"/>
        <sz val="11"/>
        <color indexed="8"/>
        <rFont val="Arial"/>
        <family val="2"/>
      </rPr>
      <t>eff 1,v</t>
    </r>
    <r>
      <rPr>
        <i/>
        <sz val="11"/>
        <color indexed="8"/>
        <rFont val="Arial"/>
        <family val="2"/>
      </rPr>
      <t xml:space="preserve"> + 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>) * 2 * t</t>
    </r>
    <r>
      <rPr>
        <i/>
        <vertAlign val="subscript"/>
        <sz val="11"/>
        <color indexed="8"/>
        <rFont val="Arial"/>
        <family val="2"/>
      </rPr>
      <t>red</t>
    </r>
    <r>
      <rPr>
        <i/>
        <sz val="11"/>
        <color indexed="8"/>
        <rFont val="Arial"/>
        <family val="2"/>
      </rPr>
      <t>)</t>
    </r>
  </si>
  <si>
    <r>
      <t>I</t>
    </r>
    <r>
      <rPr>
        <i/>
        <vertAlign val="subscript"/>
        <sz val="11"/>
        <color indexed="8"/>
        <rFont val="Arial"/>
        <family val="2"/>
      </rPr>
      <t>eff,z,h</t>
    </r>
    <r>
      <rPr>
        <i/>
        <sz val="11"/>
        <color indexed="8"/>
        <rFont val="Arial"/>
        <family val="2"/>
      </rPr>
      <t xml:space="preserve"> = (h</t>
    </r>
    <r>
      <rPr>
        <i/>
        <vertAlign val="subscript"/>
        <sz val="11"/>
        <color indexed="8"/>
        <rFont val="Arial"/>
        <family val="2"/>
      </rPr>
      <t>eff 1,v</t>
    </r>
    <r>
      <rPr>
        <i/>
        <sz val="11"/>
        <color indexed="8"/>
        <rFont val="Arial"/>
        <family val="2"/>
      </rPr>
      <t xml:space="preserve"> + h</t>
    </r>
    <r>
      <rPr>
        <i/>
        <vertAlign val="subscript"/>
        <sz val="11"/>
        <color indexed="8"/>
        <rFont val="Arial"/>
        <family val="2"/>
      </rPr>
      <t>eff 2,v</t>
    </r>
    <r>
      <rPr>
        <i/>
        <sz val="11"/>
        <color indexed="8"/>
        <rFont val="Arial"/>
        <family val="2"/>
      </rPr>
      <t>) * t * y</t>
    </r>
    <r>
      <rPr>
        <i/>
        <vertAlign val="subscript"/>
        <sz val="11"/>
        <color indexed="8"/>
        <rFont val="Arial"/>
        <family val="2"/>
      </rPr>
      <t xml:space="preserve">eff </t>
    </r>
    <r>
      <rPr>
        <i/>
        <vertAlign val="superscript"/>
        <sz val="11"/>
        <color indexed="8"/>
        <rFont val="Arial"/>
        <family val="2"/>
      </rPr>
      <t>2</t>
    </r>
  </si>
  <si>
    <r>
      <t>I</t>
    </r>
    <r>
      <rPr>
        <i/>
        <vertAlign val="subscript"/>
        <sz val="11"/>
        <color indexed="8"/>
        <rFont val="Arial"/>
        <family val="2"/>
      </rPr>
      <t>eff,z,b</t>
    </r>
    <r>
      <rPr>
        <i/>
        <sz val="11"/>
        <color indexed="8"/>
        <rFont val="Arial"/>
        <family val="2"/>
      </rPr>
      <t xml:space="preserve"> = (2 * 1/12 * (b</t>
    </r>
    <r>
      <rPr>
        <i/>
        <vertAlign val="subscript"/>
        <sz val="11"/>
        <color indexed="8"/>
        <rFont val="Arial"/>
        <family val="2"/>
      </rPr>
      <t>eff 2,v</t>
    </r>
    <r>
      <rPr>
        <i/>
        <sz val="11"/>
        <color indexed="8"/>
        <rFont val="Arial"/>
        <family val="2"/>
      </rPr>
      <t xml:space="preserve"> + b</t>
    </r>
    <r>
      <rPr>
        <i/>
        <vertAlign val="subscript"/>
        <sz val="11"/>
        <color indexed="8"/>
        <rFont val="Arial"/>
        <family val="2"/>
      </rPr>
      <t>t,v</t>
    </r>
    <r>
      <rPr>
        <i/>
        <sz val="11"/>
        <color indexed="8"/>
        <rFont val="Arial"/>
        <family val="2"/>
      </rPr>
      <t>)3 * t) + (2 * (b</t>
    </r>
    <r>
      <rPr>
        <i/>
        <vertAlign val="subscript"/>
        <sz val="11"/>
        <color indexed="8"/>
        <rFont val="Arial"/>
        <family val="2"/>
      </rPr>
      <t>eff 2,v</t>
    </r>
    <r>
      <rPr>
        <i/>
        <sz val="11"/>
        <color indexed="8"/>
        <rFont val="Arial"/>
        <family val="2"/>
      </rPr>
      <t xml:space="preserve"> + b</t>
    </r>
    <r>
      <rPr>
        <i/>
        <vertAlign val="subscript"/>
        <sz val="11"/>
        <color indexed="8"/>
        <rFont val="Arial"/>
        <family val="2"/>
      </rPr>
      <t>t,v</t>
    </r>
    <r>
      <rPr>
        <i/>
        <sz val="11"/>
        <color indexed="8"/>
        <rFont val="Arial"/>
        <family val="2"/>
      </rPr>
      <t>) * (½ * (b</t>
    </r>
    <r>
      <rPr>
        <i/>
        <vertAlign val="subscript"/>
        <sz val="11"/>
        <color indexed="8"/>
        <rFont val="Arial"/>
        <family val="2"/>
      </rPr>
      <t>eff 2,v</t>
    </r>
    <r>
      <rPr>
        <i/>
        <sz val="11"/>
        <color indexed="8"/>
        <rFont val="Arial"/>
        <family val="2"/>
      </rPr>
      <t xml:space="preserve"> + b</t>
    </r>
    <r>
      <rPr>
        <i/>
        <vertAlign val="subscript"/>
        <sz val="11"/>
        <color indexed="8"/>
        <rFont val="Arial"/>
        <family val="2"/>
      </rPr>
      <t>t,v</t>
    </r>
    <r>
      <rPr>
        <i/>
        <sz val="11"/>
        <color indexed="8"/>
        <rFont val="Arial"/>
        <family val="2"/>
      </rPr>
      <t>) + 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- y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>)</t>
    </r>
    <r>
      <rPr>
        <i/>
        <vertAlign val="superscript"/>
        <sz val="11"/>
        <color indexed="8"/>
        <rFont val="Arial"/>
        <family val="2"/>
      </rPr>
      <t>2</t>
    </r>
    <r>
      <rPr>
        <i/>
        <sz val="11"/>
        <color indexed="8"/>
        <rFont val="Arial"/>
        <family val="2"/>
      </rPr>
      <t xml:space="preserve"> * t) + ( 2 * 1/12 * b</t>
    </r>
    <r>
      <rPr>
        <i/>
        <vertAlign val="subscript"/>
        <sz val="11"/>
        <color indexed="8"/>
        <rFont val="Arial"/>
        <family val="2"/>
      </rPr>
      <t>eff 1,v</t>
    </r>
    <r>
      <rPr>
        <i/>
        <sz val="11"/>
        <color indexed="8"/>
        <rFont val="Arial"/>
        <family val="2"/>
      </rPr>
      <t xml:space="preserve"> * (h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- ½ * b</t>
    </r>
    <r>
      <rPr>
        <i/>
        <vertAlign val="subscript"/>
        <sz val="11"/>
        <color indexed="8"/>
        <rFont val="Arial"/>
        <family val="2"/>
      </rPr>
      <t>eff 1,v</t>
    </r>
    <r>
      <rPr>
        <i/>
        <sz val="11"/>
        <color indexed="8"/>
        <rFont val="Arial"/>
        <family val="2"/>
      </rPr>
      <t xml:space="preserve"> - 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- y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>)</t>
    </r>
    <r>
      <rPr>
        <i/>
        <vertAlign val="superscript"/>
        <sz val="11"/>
        <color indexed="8"/>
        <rFont val="Arial"/>
        <family val="2"/>
      </rPr>
      <t>2</t>
    </r>
    <r>
      <rPr>
        <i/>
        <sz val="11"/>
        <color indexed="8"/>
        <rFont val="Arial"/>
        <family val="2"/>
      </rPr>
      <t xml:space="preserve"> * t</t>
    </r>
    <r>
      <rPr>
        <i/>
        <vertAlign val="subscript"/>
        <sz val="11"/>
        <color indexed="8"/>
        <rFont val="Arial"/>
        <family val="2"/>
      </rPr>
      <t>red</t>
    </r>
    <r>
      <rPr>
        <i/>
        <sz val="11"/>
        <color indexed="8"/>
        <rFont val="Arial"/>
        <family val="2"/>
      </rPr>
      <t xml:space="preserve"> )</t>
    </r>
  </si>
  <si>
    <r>
      <t>I</t>
    </r>
    <r>
      <rPr>
        <i/>
        <vertAlign val="subscript"/>
        <sz val="11"/>
        <color indexed="8"/>
        <rFont val="Arial"/>
        <family val="2"/>
      </rPr>
      <t>eff,z,c</t>
    </r>
    <r>
      <rPr>
        <i/>
        <sz val="11"/>
        <color indexed="8"/>
        <rFont val="Arial"/>
        <family val="2"/>
      </rPr>
      <t xml:space="preserve"> = 2 * c</t>
    </r>
    <r>
      <rPr>
        <i/>
        <vertAlign val="subscript"/>
        <sz val="11"/>
        <color indexed="8"/>
        <rFont val="Arial"/>
        <family val="2"/>
      </rPr>
      <t>eff 1,v</t>
    </r>
    <r>
      <rPr>
        <i/>
        <sz val="11"/>
        <color indexed="8"/>
        <rFont val="Arial"/>
        <family val="2"/>
      </rPr>
      <t xml:space="preserve"> * (h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- y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>)</t>
    </r>
    <r>
      <rPr>
        <i/>
        <vertAlign val="superscript"/>
        <sz val="11"/>
        <color indexed="8"/>
        <rFont val="Arial"/>
        <family val="2"/>
      </rPr>
      <t>2</t>
    </r>
    <r>
      <rPr>
        <i/>
        <sz val="11"/>
        <color indexed="8"/>
        <rFont val="Arial"/>
        <family val="2"/>
      </rPr>
      <t xml:space="preserve"> * t</t>
    </r>
    <r>
      <rPr>
        <i/>
        <vertAlign val="subscript"/>
        <sz val="11"/>
        <color indexed="8"/>
        <rFont val="Arial"/>
        <family val="2"/>
      </rPr>
      <t>red</t>
    </r>
    <r>
      <rPr>
        <i/>
        <sz val="11"/>
        <color indexed="8"/>
        <rFont val="Arial"/>
        <family val="2"/>
      </rPr>
      <t xml:space="preserve"> </t>
    </r>
  </si>
  <si>
    <r>
      <t>I</t>
    </r>
    <r>
      <rPr>
        <i/>
        <vertAlign val="subscript"/>
        <sz val="11"/>
        <color indexed="8"/>
        <rFont val="Arial"/>
        <family val="2"/>
      </rPr>
      <t>eff,z</t>
    </r>
    <r>
      <rPr>
        <i/>
        <sz val="11"/>
        <color indexed="8"/>
        <rFont val="Arial"/>
        <family val="2"/>
      </rPr>
      <t xml:space="preserve"> = I</t>
    </r>
    <r>
      <rPr>
        <i/>
        <vertAlign val="subscript"/>
        <sz val="11"/>
        <color indexed="8"/>
        <rFont val="Arial"/>
        <family val="2"/>
      </rPr>
      <t>eff,z,h</t>
    </r>
    <r>
      <rPr>
        <i/>
        <sz val="11"/>
        <color indexed="8"/>
        <rFont val="Arial"/>
        <family val="2"/>
      </rPr>
      <t xml:space="preserve"> + I</t>
    </r>
    <r>
      <rPr>
        <i/>
        <vertAlign val="subscript"/>
        <sz val="11"/>
        <color indexed="8"/>
        <rFont val="Arial"/>
        <family val="2"/>
      </rPr>
      <t>eff,z,b</t>
    </r>
    <r>
      <rPr>
        <i/>
        <sz val="11"/>
        <color indexed="8"/>
        <rFont val="Arial"/>
        <family val="2"/>
      </rPr>
      <t xml:space="preserve"> + I</t>
    </r>
    <r>
      <rPr>
        <i/>
        <vertAlign val="subscript"/>
        <sz val="11"/>
        <color indexed="8"/>
        <rFont val="Arial"/>
        <family val="2"/>
      </rPr>
      <t>eff,c</t>
    </r>
    <r>
      <rPr>
        <i/>
        <sz val="11"/>
        <color indexed="8"/>
        <rFont val="Arial"/>
        <family val="2"/>
      </rPr>
      <t xml:space="preserve"> + I</t>
    </r>
    <r>
      <rPr>
        <i/>
        <vertAlign val="subscript"/>
        <sz val="11"/>
        <color indexed="8"/>
        <rFont val="Arial"/>
        <family val="2"/>
      </rPr>
      <t>eff,z,rc</t>
    </r>
    <r>
      <rPr>
        <i/>
        <sz val="11"/>
        <color indexed="8"/>
        <rFont val="Arial"/>
        <family val="2"/>
      </rPr>
      <t xml:space="preserve"> </t>
    </r>
  </si>
  <si>
    <r>
      <t>W</t>
    </r>
    <r>
      <rPr>
        <i/>
        <vertAlign val="subscript"/>
        <sz val="11"/>
        <color indexed="8"/>
        <rFont val="Arial"/>
        <family val="2"/>
      </rPr>
      <t>eff,z,com</t>
    </r>
    <r>
      <rPr>
        <i/>
        <sz val="11"/>
        <color indexed="8"/>
        <rFont val="Arial"/>
        <family val="2"/>
      </rPr>
      <t xml:space="preserve"> = I</t>
    </r>
    <r>
      <rPr>
        <i/>
        <vertAlign val="subscript"/>
        <sz val="11"/>
        <color indexed="8"/>
        <rFont val="Arial"/>
        <family val="2"/>
      </rPr>
      <t>eff,z</t>
    </r>
    <r>
      <rPr>
        <i/>
        <sz val="11"/>
        <color indexed="8"/>
        <rFont val="Arial"/>
        <family val="2"/>
      </rPr>
      <t xml:space="preserve"> / ( b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- y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 xml:space="preserve"> +t/2)</t>
    </r>
  </si>
  <si>
    <r>
      <t>W</t>
    </r>
    <r>
      <rPr>
        <i/>
        <vertAlign val="subscript"/>
        <sz val="11"/>
        <color indexed="8"/>
        <rFont val="Arial"/>
        <family val="2"/>
      </rPr>
      <t>eff,z,ten</t>
    </r>
    <r>
      <rPr>
        <i/>
        <sz val="11"/>
        <color indexed="8"/>
        <rFont val="Arial"/>
        <family val="2"/>
      </rPr>
      <t xml:space="preserve"> = I</t>
    </r>
    <r>
      <rPr>
        <i/>
        <vertAlign val="subscript"/>
        <sz val="11"/>
        <color indexed="8"/>
        <rFont val="Arial"/>
        <family val="2"/>
      </rPr>
      <t>eff,z</t>
    </r>
    <r>
      <rPr>
        <i/>
        <sz val="11"/>
        <color indexed="8"/>
        <rFont val="Arial"/>
        <family val="2"/>
      </rPr>
      <t xml:space="preserve"> / (y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>+t/2</t>
    </r>
    <r>
      <rPr>
        <i/>
        <vertAlign val="subscript"/>
        <sz val="11"/>
        <color indexed="8"/>
        <rFont val="Arial"/>
        <family val="2"/>
      </rPr>
      <t>)</t>
    </r>
    <r>
      <rPr>
        <i/>
        <sz val="11"/>
        <color indexed="8"/>
        <rFont val="Arial"/>
        <family val="2"/>
      </rPr>
      <t xml:space="preserve"> </t>
    </r>
  </si>
  <si>
    <r>
      <t>e</t>
    </r>
    <r>
      <rPr>
        <i/>
        <vertAlign val="subscript"/>
        <sz val="11"/>
        <color indexed="8"/>
        <rFont val="Arial"/>
        <family val="2"/>
      </rPr>
      <t>a</t>
    </r>
    <r>
      <rPr>
        <i/>
        <sz val="11"/>
        <color indexed="8"/>
        <rFont val="Arial"/>
        <family val="2"/>
      </rPr>
      <t xml:space="preserve"> = (((</t>
    </r>
    <r>
      <rPr>
        <i/>
        <sz val="11"/>
        <color indexed="8"/>
        <rFont val="Mistral"/>
        <family val="4"/>
      </rPr>
      <t>l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 xml:space="preserve"> *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)) + (c</t>
    </r>
    <r>
      <rPr>
        <i/>
        <vertAlign val="subscript"/>
        <sz val="11"/>
        <color indexed="8"/>
        <rFont val="Arial"/>
        <family val="2"/>
      </rPr>
      <t>eff ,v</t>
    </r>
    <r>
      <rPr>
        <i/>
        <sz val="11"/>
        <color indexed="8"/>
        <rFont val="Arial"/>
        <family val="2"/>
      </rPr>
      <t xml:space="preserve"> * ((0,5 * c</t>
    </r>
    <r>
      <rPr>
        <i/>
        <vertAlign val="subscript"/>
        <sz val="11"/>
        <color indexed="8"/>
        <rFont val="Arial"/>
        <family val="2"/>
      </rPr>
      <t>eff ,v</t>
    </r>
    <r>
      <rPr>
        <i/>
        <sz val="11"/>
        <color indexed="8"/>
        <rFont val="Arial"/>
        <family val="2"/>
      </rPr>
      <t>) + 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>))) * t) / A</t>
    </r>
    <r>
      <rPr>
        <i/>
        <vertAlign val="subscript"/>
        <sz val="11"/>
        <color indexed="8"/>
        <rFont val="Arial"/>
        <family val="2"/>
      </rPr>
      <t>s</t>
    </r>
  </si>
  <si>
    <r>
      <t>e</t>
    </r>
    <r>
      <rPr>
        <i/>
        <vertAlign val="subscript"/>
        <sz val="11"/>
        <color indexed="8"/>
        <rFont val="Arial"/>
        <family val="2"/>
      </rPr>
      <t>b</t>
    </r>
    <r>
      <rPr>
        <i/>
        <sz val="11"/>
        <color indexed="8"/>
        <rFont val="Arial"/>
        <family val="2"/>
      </rPr>
      <t xml:space="preserve"> = (((</t>
    </r>
    <r>
      <rPr>
        <i/>
        <sz val="11"/>
        <color indexed="8"/>
        <rFont val="Mistral"/>
        <family val="4"/>
      </rPr>
      <t>l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 xml:space="preserve"> *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)) + (b</t>
    </r>
    <r>
      <rPr>
        <i/>
        <vertAlign val="subscript"/>
        <sz val="11"/>
        <color indexed="8"/>
        <rFont val="Arial"/>
        <family val="2"/>
      </rPr>
      <t>eff 1,v</t>
    </r>
    <r>
      <rPr>
        <i/>
        <sz val="11"/>
        <color indexed="8"/>
        <rFont val="Arial"/>
        <family val="2"/>
      </rPr>
      <t xml:space="preserve"> * ((0,5 * b</t>
    </r>
    <r>
      <rPr>
        <i/>
        <vertAlign val="subscript"/>
        <sz val="11"/>
        <color indexed="8"/>
        <rFont val="Arial"/>
        <family val="2"/>
      </rPr>
      <t>eff 1,v</t>
    </r>
    <r>
      <rPr>
        <i/>
        <sz val="11"/>
        <color indexed="8"/>
        <rFont val="Arial"/>
        <family val="2"/>
      </rPr>
      <t>) + 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>))) * t) / A</t>
    </r>
    <r>
      <rPr>
        <i/>
        <vertAlign val="subscript"/>
        <sz val="11"/>
        <color indexed="8"/>
        <rFont val="Arial"/>
        <family val="2"/>
      </rPr>
      <t>s</t>
    </r>
  </si>
  <si>
    <r>
      <t>I</t>
    </r>
    <r>
      <rPr>
        <i/>
        <vertAlign val="subscript"/>
        <sz val="11"/>
        <color indexed="8"/>
        <rFont val="Arial"/>
        <family val="2"/>
      </rPr>
      <t>s</t>
    </r>
    <r>
      <rPr>
        <i/>
        <sz val="11"/>
        <color indexed="8"/>
        <rFont val="Arial"/>
        <family val="2"/>
      </rPr>
      <t xml:space="preserve"> = (b</t>
    </r>
    <r>
      <rPr>
        <i/>
        <vertAlign val="subscript"/>
        <sz val="11"/>
        <color indexed="8"/>
        <rFont val="Arial"/>
        <family val="2"/>
      </rPr>
      <t xml:space="preserve">eff 1,v </t>
    </r>
    <r>
      <rPr>
        <i/>
        <sz val="11"/>
        <color indexed="8"/>
        <rFont val="Arial"/>
        <family val="2"/>
      </rPr>
      <t>* t * (e</t>
    </r>
    <r>
      <rPr>
        <i/>
        <vertAlign val="subscript"/>
        <sz val="11"/>
        <color indexed="8"/>
        <rFont val="Arial"/>
        <family val="2"/>
      </rPr>
      <t>a</t>
    </r>
    <r>
      <rPr>
        <i/>
        <sz val="11"/>
        <color indexed="8"/>
        <rFont val="Arial"/>
        <family val="2"/>
      </rPr>
      <t>)</t>
    </r>
    <r>
      <rPr>
        <i/>
        <vertAlign val="superscript"/>
        <sz val="11"/>
        <color indexed="8"/>
        <rFont val="Arial"/>
        <family val="2"/>
      </rPr>
      <t>2</t>
    </r>
    <r>
      <rPr>
        <i/>
        <sz val="11"/>
        <color indexed="8"/>
        <rFont val="Arial"/>
        <family val="2"/>
      </rPr>
      <t>) + (I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 xml:space="preserve"> + </t>
    </r>
    <r>
      <rPr>
        <i/>
        <sz val="11"/>
        <color indexed="8"/>
        <rFont val="Mistral"/>
        <family val="4"/>
      </rPr>
      <t>l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 xml:space="preserve"> * t * (e</t>
    </r>
    <r>
      <rPr>
        <i/>
        <vertAlign val="subscript"/>
        <sz val="11"/>
        <color indexed="8"/>
        <rFont val="Arial"/>
        <family val="2"/>
      </rPr>
      <t>a</t>
    </r>
    <r>
      <rPr>
        <i/>
        <sz val="11"/>
        <color indexed="8"/>
        <rFont val="Arial"/>
        <family val="2"/>
      </rPr>
      <t xml:space="preserve"> –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))</t>
    </r>
    <r>
      <rPr>
        <i/>
        <vertAlign val="superscript"/>
        <sz val="11"/>
        <color indexed="8"/>
        <rFont val="Arial"/>
        <family val="2"/>
      </rPr>
      <t>2</t>
    </r>
    <r>
      <rPr>
        <i/>
        <sz val="11"/>
        <color indexed="8"/>
        <rFont val="Arial"/>
        <family val="2"/>
      </rPr>
      <t>) + (1/12) * t * c</t>
    </r>
    <r>
      <rPr>
        <i/>
        <vertAlign val="subscript"/>
        <sz val="11"/>
        <color indexed="8"/>
        <rFont val="Arial"/>
        <family val="2"/>
      </rPr>
      <t>eff ,v</t>
    </r>
    <r>
      <rPr>
        <i/>
        <vertAlign val="superscript"/>
        <sz val="11"/>
        <color indexed="8"/>
        <rFont val="Arial"/>
        <family val="2"/>
      </rPr>
      <t>3</t>
    </r>
    <r>
      <rPr>
        <i/>
        <sz val="11"/>
        <color indexed="8"/>
        <rFont val="Arial"/>
        <family val="2"/>
      </rPr>
      <t xml:space="preserve"> + t * c</t>
    </r>
    <r>
      <rPr>
        <i/>
        <vertAlign val="subscript"/>
        <sz val="11"/>
        <color indexed="8"/>
        <rFont val="Arial"/>
        <family val="2"/>
      </rPr>
      <t>eff ,v</t>
    </r>
    <r>
      <rPr>
        <i/>
        <sz val="11"/>
        <color indexed="8"/>
        <rFont val="Arial"/>
        <family val="2"/>
      </rPr>
      <t xml:space="preserve"> *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+ (0,5 * c</t>
    </r>
    <r>
      <rPr>
        <i/>
        <vertAlign val="subscript"/>
        <sz val="11"/>
        <color indexed="8"/>
        <rFont val="Arial"/>
        <family val="2"/>
      </rPr>
      <t>eff ,v</t>
    </r>
    <r>
      <rPr>
        <i/>
        <sz val="11"/>
        <color indexed="8"/>
        <rFont val="Arial"/>
        <family val="2"/>
      </rPr>
      <t>) – e</t>
    </r>
    <r>
      <rPr>
        <i/>
        <vertAlign val="subscript"/>
        <sz val="11"/>
        <color indexed="8"/>
        <rFont val="Arial"/>
        <family val="2"/>
      </rPr>
      <t>a</t>
    </r>
    <r>
      <rPr>
        <i/>
        <sz val="11"/>
        <color indexed="8"/>
        <rFont val="Arial"/>
        <family val="2"/>
      </rPr>
      <t>)</t>
    </r>
    <r>
      <rPr>
        <i/>
        <vertAlign val="superscript"/>
        <sz val="11"/>
        <color indexed="8"/>
        <rFont val="Arial"/>
        <family val="2"/>
      </rPr>
      <t>2</t>
    </r>
  </si>
  <si>
    <r>
      <t>A</t>
    </r>
    <r>
      <rPr>
        <i/>
        <vertAlign val="subscript"/>
        <sz val="11"/>
        <color indexed="8"/>
        <rFont val="Arial"/>
        <family val="2"/>
      </rPr>
      <t>s</t>
    </r>
    <r>
      <rPr>
        <i/>
        <sz val="11"/>
        <color indexed="8"/>
        <rFont val="Arial"/>
        <family val="2"/>
      </rPr>
      <t xml:space="preserve"> = (b</t>
    </r>
    <r>
      <rPr>
        <i/>
        <vertAlign val="subscript"/>
        <sz val="11"/>
        <color indexed="8"/>
        <rFont val="Arial"/>
        <family val="2"/>
      </rPr>
      <t>eff1 ,v</t>
    </r>
    <r>
      <rPr>
        <i/>
        <sz val="11"/>
        <color indexed="8"/>
        <rFont val="Arial"/>
        <family val="2"/>
      </rPr>
      <t xml:space="preserve"> + </t>
    </r>
    <r>
      <rPr>
        <i/>
        <sz val="11"/>
        <color indexed="8"/>
        <rFont val="Mistral"/>
        <family val="4"/>
      </rPr>
      <t>l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 xml:space="preserve"> + c</t>
    </r>
    <r>
      <rPr>
        <i/>
        <vertAlign val="subscript"/>
        <sz val="11"/>
        <color indexed="8"/>
        <rFont val="Arial"/>
        <family val="2"/>
      </rPr>
      <t>eff ,v</t>
    </r>
    <r>
      <rPr>
        <i/>
        <sz val="11"/>
        <color indexed="8"/>
        <rFont val="Arial"/>
        <family val="2"/>
      </rPr>
      <t>) * t</t>
    </r>
  </si>
  <si>
    <r>
      <t>A</t>
    </r>
    <r>
      <rPr>
        <i/>
        <vertAlign val="subscript"/>
        <sz val="11"/>
        <color theme="1"/>
        <rFont val="Arial"/>
        <family val="2"/>
      </rPr>
      <t>s,red</t>
    </r>
    <r>
      <rPr>
        <i/>
        <sz val="11"/>
        <color theme="1"/>
        <rFont val="Arial"/>
        <family val="2"/>
      </rPr>
      <t>=χ</t>
    </r>
    <r>
      <rPr>
        <i/>
        <vertAlign val="subscript"/>
        <sz val="11"/>
        <color theme="1"/>
        <rFont val="Arial"/>
        <family val="2"/>
      </rPr>
      <t>d</t>
    </r>
    <r>
      <rPr>
        <i/>
        <sz val="11"/>
        <color theme="1"/>
        <rFont val="Arial"/>
        <family val="2"/>
      </rPr>
      <t>A</t>
    </r>
    <r>
      <rPr>
        <i/>
        <vertAlign val="subscript"/>
        <sz val="11"/>
        <color theme="1"/>
        <rFont val="Arial"/>
        <family val="2"/>
      </rPr>
      <t>s</t>
    </r>
    <r>
      <rPr>
        <i/>
        <sz val="11"/>
        <color theme="1"/>
        <rFont val="Arial"/>
        <family val="2"/>
      </rPr>
      <t>*(f</t>
    </r>
    <r>
      <rPr>
        <i/>
        <vertAlign val="subscript"/>
        <sz val="11"/>
        <color theme="1"/>
        <rFont val="Arial"/>
        <family val="2"/>
      </rPr>
      <t>yb</t>
    </r>
    <r>
      <rPr>
        <i/>
        <sz val="11"/>
        <color theme="1"/>
        <rFont val="Arial"/>
        <family val="2"/>
      </rPr>
      <t>/γ</t>
    </r>
    <r>
      <rPr>
        <i/>
        <vertAlign val="subscript"/>
        <sz val="11"/>
        <color theme="1"/>
        <rFont val="Arial"/>
        <family val="2"/>
      </rPr>
      <t>M0)</t>
    </r>
    <r>
      <rPr>
        <i/>
        <sz val="11"/>
        <color theme="1"/>
        <rFont val="Arial"/>
        <family val="2"/>
      </rPr>
      <t>/σ</t>
    </r>
    <r>
      <rPr>
        <i/>
        <vertAlign val="subscript"/>
        <sz val="11"/>
        <color theme="1"/>
        <rFont val="Arial"/>
        <family val="2"/>
      </rPr>
      <t>com,Ed</t>
    </r>
    <r>
      <rPr>
        <sz val="11"/>
        <color theme="1"/>
        <rFont val="Mathematica1"/>
        <charset val="2"/>
      </rPr>
      <t>£</t>
    </r>
    <r>
      <rPr>
        <i/>
        <sz val="11"/>
        <color theme="1"/>
        <rFont val="Arial"/>
        <family val="2"/>
      </rPr>
      <t>A</t>
    </r>
    <r>
      <rPr>
        <i/>
        <vertAlign val="subscript"/>
        <sz val="11"/>
        <color theme="1"/>
        <rFont val="Arial"/>
        <family val="2"/>
      </rPr>
      <t>s</t>
    </r>
  </si>
  <si>
    <r>
      <t>t</t>
    </r>
    <r>
      <rPr>
        <i/>
        <vertAlign val="subscript"/>
        <sz val="11"/>
        <color theme="1"/>
        <rFont val="Arial"/>
        <family val="2"/>
      </rPr>
      <t>red</t>
    </r>
    <r>
      <rPr>
        <i/>
        <sz val="11"/>
        <color theme="1"/>
        <rFont val="Arial"/>
        <family val="2"/>
      </rPr>
      <t>=t*A</t>
    </r>
    <r>
      <rPr>
        <i/>
        <vertAlign val="subscript"/>
        <sz val="11"/>
        <color theme="1"/>
        <rFont val="Arial"/>
        <family val="2"/>
      </rPr>
      <t>s,red</t>
    </r>
    <r>
      <rPr>
        <i/>
        <sz val="11"/>
        <color theme="1"/>
        <rFont val="Arial"/>
        <family val="2"/>
      </rPr>
      <t>/A</t>
    </r>
    <r>
      <rPr>
        <i/>
        <vertAlign val="subscript"/>
        <sz val="11"/>
        <color theme="1"/>
        <rFont val="Arial"/>
        <family val="2"/>
      </rPr>
      <t>s</t>
    </r>
  </si>
  <si>
    <r>
      <t>y</t>
    </r>
    <r>
      <rPr>
        <i/>
        <vertAlign val="subscript"/>
        <sz val="11"/>
        <color indexed="8"/>
        <rFont val="Arial"/>
        <family val="2"/>
      </rPr>
      <t xml:space="preserve">eff  </t>
    </r>
    <r>
      <rPr>
        <i/>
        <sz val="11"/>
        <color indexed="8"/>
        <rFont val="Arial"/>
        <family val="2"/>
      </rPr>
      <t>= [ (t / A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>) * (((2 * (</t>
    </r>
    <r>
      <rPr>
        <i/>
        <sz val="11"/>
        <color indexed="8"/>
        <rFont val="Mistral"/>
        <family val="4"/>
      </rPr>
      <t>l</t>
    </r>
    <r>
      <rPr>
        <i/>
        <vertAlign val="subscript"/>
        <sz val="11"/>
        <color indexed="8"/>
        <rFont val="Arial"/>
        <family val="2"/>
      </rPr>
      <t xml:space="preserve">r </t>
    </r>
    <r>
      <rPr>
        <i/>
        <sz val="11"/>
        <color indexed="8"/>
        <rFont val="Arial"/>
        <family val="2"/>
      </rPr>
      <t>*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))) + ((2 *(b</t>
    </r>
    <r>
      <rPr>
        <i/>
        <vertAlign val="subscript"/>
        <sz val="11"/>
        <color indexed="8"/>
        <rFont val="Arial"/>
        <family val="2"/>
      </rPr>
      <t>eff 2,v</t>
    </r>
    <r>
      <rPr>
        <i/>
        <sz val="11"/>
        <color indexed="8"/>
        <rFont val="Arial"/>
        <family val="2"/>
      </rPr>
      <t xml:space="preserve"> + b</t>
    </r>
    <r>
      <rPr>
        <i/>
        <vertAlign val="subscript"/>
        <sz val="11"/>
        <color indexed="8"/>
        <rFont val="Arial"/>
        <family val="2"/>
      </rPr>
      <t>t,v</t>
    </r>
    <r>
      <rPr>
        <i/>
        <sz val="11"/>
        <color indexed="8"/>
        <rFont val="Arial"/>
        <family val="2"/>
      </rPr>
      <t>) * ((( ½ * (b</t>
    </r>
    <r>
      <rPr>
        <i/>
        <vertAlign val="subscript"/>
        <sz val="11"/>
        <color indexed="8"/>
        <rFont val="Arial"/>
        <family val="2"/>
      </rPr>
      <t>eff 2,v</t>
    </r>
    <r>
      <rPr>
        <i/>
        <sz val="11"/>
        <color indexed="8"/>
        <rFont val="Arial"/>
        <family val="2"/>
      </rPr>
      <t xml:space="preserve"> + b</t>
    </r>
    <r>
      <rPr>
        <i/>
        <vertAlign val="subscript"/>
        <sz val="11"/>
        <color indexed="8"/>
        <rFont val="Arial"/>
        <family val="2"/>
      </rPr>
      <t>t,v</t>
    </r>
    <r>
      <rPr>
        <i/>
        <sz val="11"/>
        <color indexed="8"/>
        <rFont val="Arial"/>
        <family val="2"/>
      </rPr>
      <t>)) + 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>)))) ] +[ (t</t>
    </r>
    <r>
      <rPr>
        <i/>
        <vertAlign val="subscript"/>
        <sz val="11"/>
        <color indexed="8"/>
        <rFont val="Arial"/>
        <family val="2"/>
      </rPr>
      <t>red</t>
    </r>
    <r>
      <rPr>
        <i/>
        <sz val="11"/>
        <color indexed="8"/>
        <rFont val="Arial"/>
        <family val="2"/>
      </rPr>
      <t xml:space="preserve"> / A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>) * (((2 * b</t>
    </r>
    <r>
      <rPr>
        <i/>
        <vertAlign val="subscript"/>
        <sz val="11"/>
        <color indexed="8"/>
        <rFont val="Arial"/>
        <family val="2"/>
      </rPr>
      <t>eff 1,v</t>
    </r>
    <r>
      <rPr>
        <i/>
        <sz val="11"/>
        <color indexed="8"/>
        <rFont val="Arial"/>
        <family val="2"/>
      </rPr>
      <t>) * (b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>－(( ½ * b</t>
    </r>
    <r>
      <rPr>
        <i/>
        <vertAlign val="subscript"/>
        <sz val="11"/>
        <color indexed="8"/>
        <rFont val="Arial"/>
        <family val="2"/>
      </rPr>
      <t>eff 1,v</t>
    </r>
    <r>
      <rPr>
        <i/>
        <sz val="11"/>
        <color indexed="8"/>
        <rFont val="Arial"/>
        <family val="2"/>
      </rPr>
      <t>) + 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))) + ((2 * </t>
    </r>
    <r>
      <rPr>
        <i/>
        <sz val="11"/>
        <color indexed="8"/>
        <rFont val="Mistral"/>
        <family val="4"/>
      </rPr>
      <t>l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>) * (b</t>
    </r>
    <r>
      <rPr>
        <i/>
        <vertAlign val="subscript"/>
        <sz val="11"/>
        <color indexed="8"/>
        <rFont val="Arial"/>
        <family val="2"/>
      </rPr>
      <t xml:space="preserve">v </t>
    </r>
    <r>
      <rPr>
        <i/>
        <sz val="11"/>
        <color indexed="8"/>
        <rFont val="Arial"/>
        <family val="2"/>
      </rPr>
      <t>+ 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+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)) + (2 * c</t>
    </r>
    <r>
      <rPr>
        <i/>
        <vertAlign val="subscript"/>
        <sz val="11"/>
        <color indexed="8"/>
        <rFont val="Arial"/>
        <family val="2"/>
      </rPr>
      <t>eff,v</t>
    </r>
    <r>
      <rPr>
        <i/>
        <sz val="11"/>
        <color indexed="8"/>
        <rFont val="Arial"/>
        <family val="2"/>
      </rPr>
      <t xml:space="preserve"> * b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>) ]</t>
    </r>
  </si>
  <si>
    <r>
      <t>I</t>
    </r>
    <r>
      <rPr>
        <i/>
        <vertAlign val="subscript"/>
        <sz val="11"/>
        <color indexed="8"/>
        <rFont val="Arial"/>
        <family val="2"/>
      </rPr>
      <t>eff,z,rc</t>
    </r>
    <r>
      <rPr>
        <i/>
        <sz val="11"/>
        <color indexed="8"/>
        <rFont val="Arial"/>
        <family val="2"/>
      </rPr>
      <t xml:space="preserve"> = (2 * I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 + ( 2 * I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 xml:space="preserve"> * t</t>
    </r>
    <r>
      <rPr>
        <i/>
        <vertAlign val="subscript"/>
        <sz val="11"/>
        <color indexed="8"/>
        <rFont val="Arial"/>
        <family val="2"/>
      </rPr>
      <t xml:space="preserve">red </t>
    </r>
    <r>
      <rPr>
        <i/>
        <sz val="11"/>
        <color indexed="8"/>
        <rFont val="Arial"/>
        <family val="2"/>
      </rPr>
      <t>/ t) +  (2 * l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 xml:space="preserve"> * t * (y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 xml:space="preserve"> -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-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))</t>
    </r>
    <r>
      <rPr>
        <i/>
        <vertAlign val="superscript"/>
        <sz val="11"/>
        <color indexed="8"/>
        <rFont val="Arial"/>
        <family val="2"/>
      </rPr>
      <t xml:space="preserve">2 </t>
    </r>
    <r>
      <rPr>
        <i/>
        <sz val="11"/>
        <color indexed="8"/>
        <rFont val="Arial"/>
        <family val="2"/>
      </rPr>
      <t xml:space="preserve">) + ( 2 * </t>
    </r>
    <r>
      <rPr>
        <i/>
        <sz val="11"/>
        <color indexed="8"/>
        <rFont val="Mistral"/>
        <family val="4"/>
      </rPr>
      <t>l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 xml:space="preserve"> * t</t>
    </r>
    <r>
      <rPr>
        <i/>
        <vertAlign val="subscript"/>
        <sz val="11"/>
        <color indexed="8"/>
        <rFont val="Arial"/>
        <family val="2"/>
      </rPr>
      <t>red</t>
    </r>
    <r>
      <rPr>
        <i/>
        <sz val="11"/>
        <color indexed="8"/>
        <rFont val="Arial"/>
        <family val="2"/>
      </rPr>
      <t xml:space="preserve"> * ( b</t>
    </r>
    <r>
      <rPr>
        <i/>
        <vertAlign val="subscript"/>
        <sz val="11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+ 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+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 xml:space="preserve"> - y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>)</t>
    </r>
    <r>
      <rPr>
        <i/>
        <vertAlign val="superscript"/>
        <sz val="11"/>
        <color indexed="8"/>
        <rFont val="Arial"/>
        <family val="2"/>
      </rPr>
      <t>2</t>
    </r>
    <r>
      <rPr>
        <i/>
        <sz val="11"/>
        <color indexed="8"/>
        <rFont val="Arial"/>
        <family val="2"/>
      </rPr>
      <t xml:space="preserve"> )</t>
    </r>
  </si>
  <si>
    <r>
      <t>C-M</t>
    </r>
    <r>
      <rPr>
        <b/>
        <vertAlign val="subscript"/>
        <sz val="20"/>
        <color indexed="8"/>
        <rFont val="Arial"/>
        <family val="2"/>
      </rPr>
      <t>z2</t>
    </r>
    <r>
      <rPr>
        <b/>
        <sz val="20"/>
        <color indexed="8"/>
        <rFont val="Arial"/>
        <family val="2"/>
      </rPr>
      <t>: Berekening eigenschappen effectieve doorsnede</t>
    </r>
  </si>
  <si>
    <r>
      <t>χ</t>
    </r>
    <r>
      <rPr>
        <i/>
        <vertAlign val="subscript"/>
        <sz val="11"/>
        <color indexed="8"/>
        <rFont val="Arial"/>
        <family val="2"/>
      </rPr>
      <t>d</t>
    </r>
  </si>
  <si>
    <r>
      <t>y</t>
    </r>
    <r>
      <rPr>
        <i/>
        <vertAlign val="subscript"/>
        <sz val="11"/>
        <color indexed="8"/>
        <rFont val="Arial"/>
        <family val="2"/>
      </rPr>
      <t>init</t>
    </r>
  </si>
  <si>
    <t>Profieleigenschappen niet gereduceerde dwarsdoorsnede</t>
  </si>
  <si>
    <r>
      <rPr>
        <u/>
        <sz val="11"/>
        <color indexed="8"/>
        <rFont val="Arial"/>
        <family val="2"/>
      </rPr>
      <t>Plaatdeel 1</t>
    </r>
    <r>
      <rPr>
        <sz val="11"/>
        <color indexed="8"/>
        <rFont val="Arial"/>
        <family val="2"/>
      </rPr>
      <t xml:space="preserve"> (trekflens) volledig effectief</t>
    </r>
  </si>
</sst>
</file>

<file path=xl/styles.xml><?xml version="1.0" encoding="utf-8"?>
<styleSheet xmlns="http://schemas.openxmlformats.org/spreadsheetml/2006/main">
  <numFmts count="4">
    <numFmt numFmtId="164" formatCode="0.000"/>
    <numFmt numFmtId="165" formatCode="0.00000"/>
    <numFmt numFmtId="166" formatCode="0.0000"/>
    <numFmt numFmtId="167" formatCode="0.0"/>
  </numFmts>
  <fonts count="58">
    <font>
      <sz val="11"/>
      <color theme="1"/>
      <name val="Calibri"/>
      <family val="2"/>
      <scheme val="minor"/>
    </font>
    <font>
      <sz val="11"/>
      <name val="Arial"/>
      <family val="2"/>
    </font>
    <font>
      <vertAlign val="subscript"/>
      <sz val="11"/>
      <color indexed="8"/>
      <name val="Arial"/>
      <family val="2"/>
    </font>
    <font>
      <i/>
      <vertAlign val="subscript"/>
      <sz val="11"/>
      <color indexed="8"/>
      <name val="Arial"/>
      <family val="2"/>
    </font>
    <font>
      <vertAlign val="superscript"/>
      <sz val="11"/>
      <color indexed="8"/>
      <name val="Arial"/>
      <family val="2"/>
    </font>
    <font>
      <b/>
      <sz val="14"/>
      <color indexed="8"/>
      <name val="Arial"/>
      <family val="2"/>
    </font>
    <font>
      <vertAlign val="subscript"/>
      <sz val="12"/>
      <color indexed="8"/>
      <name val="Arial"/>
      <family val="2"/>
    </font>
    <font>
      <i/>
      <vertAlign val="subscript"/>
      <sz val="12"/>
      <color indexed="8"/>
      <name val="Arial"/>
      <family val="2"/>
    </font>
    <font>
      <i/>
      <sz val="9"/>
      <name val="Arial"/>
      <family val="2"/>
    </font>
    <font>
      <sz val="10"/>
      <color indexed="8"/>
      <name val="Times New Roman"/>
      <family val="1"/>
    </font>
    <font>
      <vertAlign val="subscript"/>
      <sz val="10"/>
      <color indexed="8"/>
      <name val="Times New Roman"/>
      <family val="1"/>
    </font>
    <font>
      <vertAlign val="superscript"/>
      <sz val="10"/>
      <color indexed="8"/>
      <name val="Times New Roman"/>
      <family val="1"/>
    </font>
    <font>
      <sz val="12"/>
      <color indexed="8"/>
      <name val="Times New Roman"/>
      <family val="1"/>
    </font>
    <font>
      <vertAlign val="subscript"/>
      <sz val="12"/>
      <color indexed="8"/>
      <name val="Times New Roman"/>
      <family val="1"/>
    </font>
    <font>
      <sz val="11"/>
      <color indexed="10"/>
      <name val="Calibri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11"/>
      <color indexed="10"/>
      <name val="Arial"/>
      <family val="2"/>
    </font>
    <font>
      <sz val="11"/>
      <color indexed="30"/>
      <name val="Arial"/>
      <family val="2"/>
    </font>
    <font>
      <sz val="12"/>
      <color indexed="8"/>
      <name val="Arial"/>
      <family val="2"/>
    </font>
    <font>
      <u/>
      <sz val="11"/>
      <color indexed="8"/>
      <name val="Arial"/>
      <family val="2"/>
    </font>
    <font>
      <b/>
      <sz val="14"/>
      <color indexed="8"/>
      <name val="Arial"/>
      <family val="2"/>
    </font>
    <font>
      <i/>
      <sz val="9"/>
      <color indexed="8"/>
      <name val="Arial"/>
      <family val="2"/>
    </font>
    <font>
      <b/>
      <sz val="30"/>
      <color indexed="8"/>
      <name val="Calibri"/>
      <family val="2"/>
    </font>
    <font>
      <sz val="11"/>
      <color indexed="8"/>
      <name val="Mistral"/>
      <family val="4"/>
    </font>
    <font>
      <sz val="14"/>
      <color indexed="8"/>
      <name val="Mistral"/>
      <family val="4"/>
    </font>
    <font>
      <b/>
      <u/>
      <sz val="14"/>
      <color indexed="10"/>
      <name val="Calibri"/>
      <family val="2"/>
    </font>
    <font>
      <sz val="11"/>
      <color indexed="9"/>
      <name val="Arial"/>
      <family val="2"/>
    </font>
    <font>
      <sz val="11"/>
      <color indexed="8"/>
      <name val="Calibri"/>
      <family val="2"/>
    </font>
    <font>
      <sz val="10"/>
      <color indexed="8"/>
      <name val="Times New Roman"/>
      <family val="1"/>
    </font>
    <font>
      <sz val="10"/>
      <color indexed="8"/>
      <name val="Brush Script MT"/>
      <family val="4"/>
    </font>
    <font>
      <sz val="12"/>
      <color indexed="8"/>
      <name val="Times New Roman"/>
      <family val="1"/>
    </font>
    <font>
      <sz val="11"/>
      <color indexed="40"/>
      <name val="Arial"/>
      <family val="2"/>
    </font>
    <font>
      <sz val="11"/>
      <color indexed="40"/>
      <name val="Calibri"/>
      <family val="2"/>
    </font>
    <font>
      <b/>
      <sz val="20"/>
      <color indexed="8"/>
      <name val="Calibri"/>
      <family val="2"/>
    </font>
    <font>
      <sz val="8"/>
      <name val="Calibri"/>
      <family val="2"/>
    </font>
    <font>
      <b/>
      <sz val="16"/>
      <color indexed="8"/>
      <name val="Arial"/>
      <family val="2"/>
    </font>
    <font>
      <i/>
      <vertAlign val="subscript"/>
      <sz val="11"/>
      <color indexed="8"/>
      <name val="Times New Roman"/>
      <family val="1"/>
    </font>
    <font>
      <sz val="10"/>
      <color indexed="8"/>
      <name val="Times New Roman"/>
      <family val="1"/>
    </font>
    <font>
      <sz val="11"/>
      <color indexed="8"/>
      <name val="Arial"/>
      <family val="2"/>
    </font>
    <font>
      <i/>
      <sz val="9"/>
      <color indexed="8"/>
      <name val="Arial"/>
      <family val="2"/>
    </font>
    <font>
      <sz val="11"/>
      <color indexed="10"/>
      <name val="Arial"/>
      <family val="2"/>
    </font>
    <font>
      <b/>
      <sz val="10"/>
      <color indexed="9"/>
      <name val="Calibri"/>
      <family val="2"/>
    </font>
    <font>
      <sz val="11"/>
      <color indexed="30"/>
      <name val="Arial"/>
      <family val="2"/>
    </font>
    <font>
      <b/>
      <sz val="20"/>
      <color indexed="8"/>
      <name val="Arial"/>
      <family val="2"/>
    </font>
    <font>
      <sz val="20"/>
      <color theme="1"/>
      <name val="Arial"/>
      <family val="2"/>
    </font>
    <font>
      <b/>
      <vertAlign val="subscript"/>
      <sz val="20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indexed="8"/>
      <name val="Times New Roman"/>
      <family val="1"/>
    </font>
    <font>
      <i/>
      <sz val="12"/>
      <color indexed="8"/>
      <name val="Arial"/>
      <family val="2"/>
    </font>
    <font>
      <i/>
      <sz val="11"/>
      <color indexed="8"/>
      <name val="Mistral"/>
      <family val="4"/>
    </font>
    <font>
      <i/>
      <sz val="11"/>
      <color indexed="8"/>
      <name val="Calibri"/>
      <family val="2"/>
    </font>
    <font>
      <i/>
      <vertAlign val="superscript"/>
      <sz val="11"/>
      <color indexed="8"/>
      <name val="Arial"/>
      <family val="2"/>
    </font>
    <font>
      <i/>
      <sz val="11"/>
      <color theme="1"/>
      <name val="Arial"/>
      <family val="2"/>
    </font>
    <font>
      <i/>
      <sz val="16"/>
      <color indexed="8"/>
      <name val="Mistral"/>
      <family val="4"/>
    </font>
    <font>
      <i/>
      <vertAlign val="subscript"/>
      <sz val="11"/>
      <color theme="1"/>
      <name val="Arial"/>
      <family val="2"/>
    </font>
    <font>
      <sz val="11"/>
      <color theme="1"/>
      <name val="Mathematica1"/>
      <charset val="2"/>
    </font>
    <font>
      <i/>
      <vertAlign val="subscript"/>
      <sz val="11"/>
      <name val="Arial"/>
      <family val="2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8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Fill="1" applyBorder="1"/>
    <xf numFmtId="0" fontId="15" fillId="0" borderId="0" xfId="0" applyFont="1"/>
    <xf numFmtId="0" fontId="15" fillId="0" borderId="0" xfId="0" applyFont="1" applyFill="1" applyBorder="1"/>
    <xf numFmtId="0" fontId="16" fillId="0" borderId="0" xfId="0" applyFont="1" applyBorder="1"/>
    <xf numFmtId="0" fontId="15" fillId="0" borderId="0" xfId="0" applyFont="1" applyBorder="1"/>
    <xf numFmtId="0" fontId="16" fillId="0" borderId="0" xfId="0" applyFont="1" applyFill="1" applyBorder="1"/>
    <xf numFmtId="0" fontId="1" fillId="0" borderId="0" xfId="0" applyFont="1" applyFill="1" applyBorder="1" applyProtection="1"/>
    <xf numFmtId="0" fontId="17" fillId="0" borderId="0" xfId="0" applyFont="1" applyFill="1" applyBorder="1"/>
    <xf numFmtId="0" fontId="15" fillId="0" borderId="3" xfId="0" applyFont="1" applyFill="1" applyBorder="1"/>
    <xf numFmtId="0" fontId="1" fillId="0" borderId="3" xfId="0" applyFont="1" applyFill="1" applyBorder="1" applyProtection="1"/>
    <xf numFmtId="0" fontId="15" fillId="0" borderId="1" xfId="0" applyFont="1" applyFill="1" applyBorder="1"/>
    <xf numFmtId="0" fontId="15" fillId="0" borderId="4" xfId="0" applyFont="1" applyFill="1" applyBorder="1"/>
    <xf numFmtId="0" fontId="16" fillId="0" borderId="1" xfId="0" applyFont="1" applyFill="1" applyBorder="1"/>
    <xf numFmtId="0" fontId="15" fillId="0" borderId="2" xfId="0" applyFont="1" applyFill="1" applyBorder="1"/>
    <xf numFmtId="0" fontId="1" fillId="0" borderId="2" xfId="0" applyFont="1" applyFill="1" applyBorder="1" applyProtection="1"/>
    <xf numFmtId="0" fontId="16" fillId="0" borderId="6" xfId="0" applyFont="1" applyFill="1" applyBorder="1"/>
    <xf numFmtId="0" fontId="16" fillId="0" borderId="0" xfId="0" applyFont="1" applyFill="1" applyBorder="1" applyAlignment="1">
      <alignment horizontal="left"/>
    </xf>
    <xf numFmtId="0" fontId="15" fillId="0" borderId="7" xfId="0" applyFont="1" applyFill="1" applyBorder="1"/>
    <xf numFmtId="0" fontId="15" fillId="0" borderId="8" xfId="0" applyFont="1" applyFill="1" applyBorder="1"/>
    <xf numFmtId="2" fontId="18" fillId="0" borderId="0" xfId="0" applyNumberFormat="1" applyFont="1" applyFill="1" applyBorder="1"/>
    <xf numFmtId="0" fontId="17" fillId="0" borderId="0" xfId="0" applyFont="1" applyFill="1" applyBorder="1" applyProtection="1"/>
    <xf numFmtId="0" fontId="0" fillId="0" borderId="0" xfId="0" applyFill="1"/>
    <xf numFmtId="0" fontId="15" fillId="0" borderId="0" xfId="0" applyFont="1" applyAlignment="1">
      <alignment horizontal="left"/>
    </xf>
    <xf numFmtId="0" fontId="16" fillId="0" borderId="0" xfId="0" applyFont="1" applyBorder="1" applyAlignment="1">
      <alignment horizontal="center"/>
    </xf>
    <xf numFmtId="0" fontId="15" fillId="0" borderId="0" xfId="0" applyFont="1" applyFill="1"/>
    <xf numFmtId="0" fontId="19" fillId="0" borderId="0" xfId="0" applyFont="1"/>
    <xf numFmtId="0" fontId="19" fillId="0" borderId="0" xfId="0" applyFont="1" applyBorder="1"/>
    <xf numFmtId="0" fontId="19" fillId="0" borderId="0" xfId="0" applyFont="1" applyFill="1"/>
    <xf numFmtId="0" fontId="17" fillId="0" borderId="0" xfId="0" applyFont="1"/>
    <xf numFmtId="0" fontId="16" fillId="0" borderId="0" xfId="0" applyFont="1" applyFill="1"/>
    <xf numFmtId="2" fontId="15" fillId="0" borderId="0" xfId="0" applyNumberFormat="1" applyFont="1" applyFill="1" applyBorder="1" applyAlignment="1"/>
    <xf numFmtId="2" fontId="15" fillId="0" borderId="0" xfId="0" applyNumberFormat="1" applyFont="1" applyAlignment="1">
      <alignment horizontal="left"/>
    </xf>
    <xf numFmtId="0" fontId="0" fillId="0" borderId="3" xfId="0" applyBorder="1"/>
    <xf numFmtId="0" fontId="15" fillId="0" borderId="3" xfId="0" applyFont="1" applyBorder="1"/>
    <xf numFmtId="0" fontId="16" fillId="0" borderId="9" xfId="0" applyFont="1" applyBorder="1"/>
    <xf numFmtId="0" fontId="15" fillId="0" borderId="10" xfId="0" applyFont="1" applyBorder="1"/>
    <xf numFmtId="0" fontId="15" fillId="0" borderId="11" xfId="0" applyFont="1" applyBorder="1"/>
    <xf numFmtId="0" fontId="21" fillId="0" borderId="9" xfId="0" applyFont="1" applyFill="1" applyBorder="1"/>
    <xf numFmtId="0" fontId="1" fillId="0" borderId="10" xfId="0" applyFont="1" applyFill="1" applyBorder="1"/>
    <xf numFmtId="0" fontId="21" fillId="0" borderId="9" xfId="0" applyFont="1" applyBorder="1"/>
    <xf numFmtId="0" fontId="15" fillId="0" borderId="10" xfId="0" applyFont="1" applyFill="1" applyBorder="1"/>
    <xf numFmtId="2" fontId="15" fillId="0" borderId="0" xfId="0" applyNumberFormat="1" applyFont="1" applyFill="1" applyBorder="1"/>
    <xf numFmtId="0" fontId="19" fillId="0" borderId="10" xfId="0" applyFont="1" applyBorder="1"/>
    <xf numFmtId="0" fontId="17" fillId="0" borderId="0" xfId="0" applyFont="1" applyFill="1" applyBorder="1" applyAlignment="1" applyProtection="1">
      <alignment horizontal="left"/>
    </xf>
    <xf numFmtId="0" fontId="17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right"/>
    </xf>
    <xf numFmtId="0" fontId="0" fillId="0" borderId="8" xfId="0" applyBorder="1"/>
    <xf numFmtId="0" fontId="0" fillId="0" borderId="4" xfId="0" applyBorder="1"/>
    <xf numFmtId="0" fontId="15" fillId="0" borderId="0" xfId="0" applyFont="1" applyBorder="1" applyAlignment="1">
      <alignment horizontal="right"/>
    </xf>
    <xf numFmtId="0" fontId="15" fillId="0" borderId="4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15" fillId="0" borderId="12" xfId="0" applyFont="1" applyFill="1" applyBorder="1"/>
    <xf numFmtId="0" fontId="19" fillId="0" borderId="13" xfId="0" applyFont="1" applyFill="1" applyBorder="1"/>
    <xf numFmtId="0" fontId="19" fillId="0" borderId="14" xfId="0" applyFont="1" applyFill="1" applyBorder="1"/>
    <xf numFmtId="0" fontId="1" fillId="0" borderId="15" xfId="0" applyFont="1" applyFill="1" applyBorder="1"/>
    <xf numFmtId="1" fontId="1" fillId="0" borderId="16" xfId="0" applyNumberFormat="1" applyFont="1" applyFill="1" applyBorder="1"/>
    <xf numFmtId="0" fontId="1" fillId="0" borderId="16" xfId="0" applyFont="1" applyFill="1" applyBorder="1"/>
    <xf numFmtId="0" fontId="1" fillId="0" borderId="17" xfId="0" applyFont="1" applyFill="1" applyBorder="1"/>
    <xf numFmtId="0" fontId="15" fillId="0" borderId="17" xfId="0" applyFont="1" applyFill="1" applyBorder="1"/>
    <xf numFmtId="2" fontId="15" fillId="0" borderId="15" xfId="0" applyNumberFormat="1" applyFont="1" applyFill="1" applyBorder="1"/>
    <xf numFmtId="2" fontId="15" fillId="0" borderId="16" xfId="0" applyNumberFormat="1" applyFont="1" applyFill="1" applyBorder="1"/>
    <xf numFmtId="2" fontId="15" fillId="0" borderId="17" xfId="0" applyNumberFormat="1" applyFont="1" applyFill="1" applyBorder="1"/>
    <xf numFmtId="2" fontId="15" fillId="0" borderId="18" xfId="0" applyNumberFormat="1" applyFont="1" applyFill="1" applyBorder="1"/>
    <xf numFmtId="2" fontId="15" fillId="0" borderId="19" xfId="0" applyNumberFormat="1" applyFont="1" applyFill="1" applyBorder="1"/>
    <xf numFmtId="2" fontId="15" fillId="0" borderId="20" xfId="0" applyNumberFormat="1" applyFont="1" applyFill="1" applyBorder="1"/>
    <xf numFmtId="0" fontId="15" fillId="0" borderId="16" xfId="0" applyFont="1" applyFill="1" applyBorder="1"/>
    <xf numFmtId="0" fontId="8" fillId="0" borderId="0" xfId="0" applyFont="1"/>
    <xf numFmtId="0" fontId="19" fillId="0" borderId="3" xfId="0" applyFont="1" applyBorder="1"/>
    <xf numFmtId="0" fontId="15" fillId="0" borderId="8" xfId="0" applyFont="1" applyBorder="1"/>
    <xf numFmtId="0" fontId="22" fillId="0" borderId="6" xfId="0" applyFont="1" applyFill="1" applyBorder="1"/>
    <xf numFmtId="11" fontId="15" fillId="0" borderId="16" xfId="0" applyNumberFormat="1" applyFont="1" applyFill="1" applyBorder="1"/>
    <xf numFmtId="0" fontId="8" fillId="0" borderId="0" xfId="0" applyFont="1" applyAlignment="1"/>
    <xf numFmtId="0" fontId="15" fillId="0" borderId="13" xfId="0" applyFont="1" applyFill="1" applyBorder="1"/>
    <xf numFmtId="0" fontId="15" fillId="0" borderId="13" xfId="0" applyFont="1" applyBorder="1"/>
    <xf numFmtId="0" fontId="19" fillId="0" borderId="0" xfId="0" applyFont="1" applyAlignment="1">
      <alignment horizontal="center"/>
    </xf>
    <xf numFmtId="0" fontId="16" fillId="0" borderId="24" xfId="0" applyFont="1" applyBorder="1" applyAlignment="1"/>
    <xf numFmtId="0" fontId="16" fillId="0" borderId="25" xfId="0" applyFont="1" applyBorder="1" applyAlignment="1">
      <alignment horizontal="left"/>
    </xf>
    <xf numFmtId="0" fontId="23" fillId="0" borderId="0" xfId="0" applyFont="1" applyAlignment="1">
      <alignment vertical="center" textRotation="90"/>
    </xf>
    <xf numFmtId="0" fontId="15" fillId="0" borderId="0" xfId="0" applyFont="1" applyFill="1" applyBorder="1" applyAlignment="1"/>
    <xf numFmtId="0" fontId="16" fillId="0" borderId="3" xfId="0" applyFont="1" applyFill="1" applyBorder="1"/>
    <xf numFmtId="0" fontId="0" fillId="0" borderId="5" xfId="0" applyBorder="1"/>
    <xf numFmtId="0" fontId="0" fillId="0" borderId="26" xfId="0" applyBorder="1"/>
    <xf numFmtId="0" fontId="0" fillId="0" borderId="27" xfId="0" applyBorder="1"/>
    <xf numFmtId="0" fontId="15" fillId="0" borderId="27" xfId="0" applyFont="1" applyFill="1" applyBorder="1"/>
    <xf numFmtId="0" fontId="16" fillId="0" borderId="27" xfId="0" applyFont="1" applyFill="1" applyBorder="1"/>
    <xf numFmtId="0" fontId="15" fillId="0" borderId="28" xfId="0" applyFont="1" applyFill="1" applyBorder="1"/>
    <xf numFmtId="0" fontId="19" fillId="0" borderId="0" xfId="0" applyFont="1" applyAlignment="1">
      <alignment horizontal="left"/>
    </xf>
    <xf numFmtId="2" fontId="16" fillId="0" borderId="0" xfId="0" applyNumberFormat="1" applyFont="1" applyFill="1" applyBorder="1" applyAlignment="1"/>
    <xf numFmtId="0" fontId="24" fillId="0" borderId="0" xfId="0" applyFont="1"/>
    <xf numFmtId="0" fontId="25" fillId="0" borderId="0" xfId="0" applyFont="1"/>
    <xf numFmtId="0" fontId="15" fillId="0" borderId="14" xfId="0" applyFont="1" applyFill="1" applyBorder="1"/>
    <xf numFmtId="0" fontId="15" fillId="0" borderId="0" xfId="0" applyFont="1" applyBorder="1" applyAlignment="1"/>
    <xf numFmtId="0" fontId="15" fillId="0" borderId="0" xfId="0" quotePrefix="1" applyFont="1" applyBorder="1" applyAlignment="1">
      <alignment horizontal="left"/>
    </xf>
    <xf numFmtId="0" fontId="15" fillId="0" borderId="0" xfId="0" applyFont="1" applyAlignment="1">
      <alignment horizontal="center" vertical="center"/>
    </xf>
    <xf numFmtId="165" fontId="0" fillId="0" borderId="0" xfId="0" applyNumberFormat="1"/>
    <xf numFmtId="165" fontId="15" fillId="0" borderId="0" xfId="0" applyNumberFormat="1" applyFont="1"/>
    <xf numFmtId="0" fontId="26" fillId="0" borderId="0" xfId="0" applyFont="1" applyBorder="1"/>
    <xf numFmtId="0" fontId="14" fillId="0" borderId="0" xfId="0" applyFont="1"/>
    <xf numFmtId="2" fontId="0" fillId="0" borderId="0" xfId="0" applyNumberFormat="1"/>
    <xf numFmtId="2" fontId="15" fillId="0" borderId="0" xfId="0" applyNumberFormat="1" applyFont="1" applyFill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22" fillId="0" borderId="1" xfId="0" applyFont="1" applyFill="1" applyBorder="1"/>
    <xf numFmtId="0" fontId="15" fillId="0" borderId="0" xfId="0" applyFont="1" applyFill="1" applyBorder="1" applyAlignment="1">
      <alignment horizontal="left"/>
    </xf>
    <xf numFmtId="167" fontId="15" fillId="0" borderId="0" xfId="0" applyNumberFormat="1" applyFont="1" applyFill="1" applyBorder="1" applyAlignment="1">
      <alignment horizontal="left"/>
    </xf>
    <xf numFmtId="0" fontId="27" fillId="0" borderId="0" xfId="0" applyFont="1"/>
    <xf numFmtId="0" fontId="16" fillId="0" borderId="0" xfId="0" applyFont="1" applyBorder="1" applyAlignment="1">
      <alignment horizontal="left"/>
    </xf>
    <xf numFmtId="0" fontId="15" fillId="0" borderId="30" xfId="0" applyFont="1" applyBorder="1"/>
    <xf numFmtId="0" fontId="21" fillId="0" borderId="0" xfId="0" applyFont="1" applyFill="1" applyBorder="1"/>
    <xf numFmtId="0" fontId="22" fillId="0" borderId="0" xfId="0" applyFont="1" applyFill="1" applyBorder="1"/>
    <xf numFmtId="0" fontId="16" fillId="0" borderId="0" xfId="0" applyFont="1" applyBorder="1" applyAlignment="1"/>
    <xf numFmtId="0" fontId="0" fillId="0" borderId="0" xfId="0" applyFill="1" applyBorder="1"/>
    <xf numFmtId="2" fontId="0" fillId="0" borderId="0" xfId="0" applyNumberFormat="1" applyFill="1" applyBorder="1"/>
    <xf numFmtId="2" fontId="0" fillId="0" borderId="0" xfId="0" applyNumberFormat="1" applyFill="1" applyBorder="1" applyAlignment="1">
      <alignment horizontal="right"/>
    </xf>
    <xf numFmtId="2" fontId="0" fillId="0" borderId="0" xfId="0" applyNumberFormat="1" applyFill="1" applyBorder="1" applyAlignment="1"/>
    <xf numFmtId="2" fontId="1" fillId="0" borderId="0" xfId="0" applyNumberFormat="1" applyFont="1" applyFill="1" applyBorder="1"/>
    <xf numFmtId="2" fontId="0" fillId="0" borderId="0" xfId="0" applyNumberFormat="1" applyBorder="1"/>
    <xf numFmtId="0" fontId="20" fillId="0" borderId="0" xfId="0" applyFont="1" applyBorder="1" applyAlignment="1"/>
    <xf numFmtId="0" fontId="0" fillId="0" borderId="0" xfId="0" applyBorder="1" applyAlignment="1"/>
    <xf numFmtId="0" fontId="28" fillId="0" borderId="0" xfId="0" applyFont="1" applyBorder="1" applyAlignment="1"/>
    <xf numFmtId="0" fontId="28" fillId="0" borderId="0" xfId="0" quotePrefix="1" applyFont="1" applyBorder="1" applyAlignment="1"/>
    <xf numFmtId="0" fontId="15" fillId="0" borderId="5" xfId="0" applyFont="1" applyBorder="1" applyAlignment="1"/>
    <xf numFmtId="0" fontId="15" fillId="0" borderId="2" xfId="0" applyFont="1" applyBorder="1" applyAlignment="1"/>
    <xf numFmtId="0" fontId="29" fillId="0" borderId="0" xfId="0" applyFont="1"/>
    <xf numFmtId="0" fontId="30" fillId="0" borderId="0" xfId="0" applyFont="1"/>
    <xf numFmtId="0" fontId="31" fillId="0" borderId="0" xfId="0" applyFont="1"/>
    <xf numFmtId="0" fontId="15" fillId="0" borderId="0" xfId="0" applyFont="1" applyAlignment="1">
      <alignment vertical="center"/>
    </xf>
    <xf numFmtId="0" fontId="33" fillId="0" borderId="0" xfId="0" applyFont="1" applyBorder="1"/>
    <xf numFmtId="0" fontId="32" fillId="0" borderId="1" xfId="0" applyFont="1" applyFill="1" applyBorder="1" applyAlignment="1">
      <alignment vertical="center"/>
    </xf>
    <xf numFmtId="0" fontId="19" fillId="0" borderId="0" xfId="0" applyFont="1" applyFill="1" applyBorder="1"/>
    <xf numFmtId="11" fontId="15" fillId="0" borderId="0" xfId="0" applyNumberFormat="1" applyFont="1" applyFill="1" applyBorder="1"/>
    <xf numFmtId="0" fontId="20" fillId="0" borderId="32" xfId="0" applyFont="1" applyBorder="1"/>
    <xf numFmtId="0" fontId="15" fillId="0" borderId="32" xfId="0" applyFont="1" applyBorder="1"/>
    <xf numFmtId="0" fontId="0" fillId="0" borderId="32" xfId="0" applyBorder="1"/>
    <xf numFmtId="0" fontId="15" fillId="0" borderId="33" xfId="0" applyFont="1" applyBorder="1"/>
    <xf numFmtId="0" fontId="27" fillId="0" borderId="0" xfId="0" applyFont="1" applyFill="1" applyBorder="1" applyProtection="1"/>
    <xf numFmtId="0" fontId="38" fillId="0" borderId="0" xfId="0" applyFont="1"/>
    <xf numFmtId="0" fontId="39" fillId="0" borderId="0" xfId="0" applyFont="1"/>
    <xf numFmtId="0" fontId="39" fillId="0" borderId="0" xfId="0" applyFont="1" applyBorder="1"/>
    <xf numFmtId="0" fontId="40" fillId="0" borderId="0" xfId="0" applyFont="1" applyBorder="1" applyAlignment="1">
      <alignment vertical="center"/>
    </xf>
    <xf numFmtId="0" fontId="9" fillId="0" borderId="0" xfId="0" applyFont="1"/>
    <xf numFmtId="2" fontId="18" fillId="0" borderId="0" xfId="0" applyNumberFormat="1" applyFont="1" applyBorder="1"/>
    <xf numFmtId="0" fontId="41" fillId="0" borderId="0" xfId="0" applyFont="1" applyBorder="1"/>
    <xf numFmtId="1" fontId="15" fillId="0" borderId="0" xfId="0" applyNumberFormat="1" applyFont="1" applyBorder="1"/>
    <xf numFmtId="0" fontId="1" fillId="0" borderId="0" xfId="0" applyFont="1" applyFill="1" applyBorder="1"/>
    <xf numFmtId="0" fontId="42" fillId="0" borderId="0" xfId="0" applyFont="1" applyAlignment="1">
      <alignment vertical="center" textRotation="90"/>
    </xf>
    <xf numFmtId="0" fontId="15" fillId="0" borderId="4" xfId="0" applyFont="1" applyFill="1" applyBorder="1" applyAlignment="1"/>
    <xf numFmtId="0" fontId="15" fillId="0" borderId="2" xfId="0" applyFont="1" applyFill="1" applyBorder="1" applyAlignment="1"/>
    <xf numFmtId="2" fontId="43" fillId="0" borderId="0" xfId="0" applyNumberFormat="1" applyFont="1" applyBorder="1"/>
    <xf numFmtId="164" fontId="43" fillId="0" borderId="0" xfId="0" applyNumberFormat="1" applyFont="1" applyBorder="1"/>
    <xf numFmtId="0" fontId="41" fillId="0" borderId="0" xfId="0" applyFont="1" applyFill="1" applyBorder="1"/>
    <xf numFmtId="0" fontId="15" fillId="0" borderId="0" xfId="0" applyFont="1" applyFill="1" applyBorder="1" applyAlignment="1">
      <alignment vertical="center"/>
    </xf>
    <xf numFmtId="0" fontId="39" fillId="0" borderId="0" xfId="0" applyFont="1" applyBorder="1" applyAlignment="1">
      <alignment vertical="center"/>
    </xf>
    <xf numFmtId="0" fontId="15" fillId="0" borderId="23" xfId="0" quotePrefix="1" applyFont="1" applyBorder="1" applyAlignment="1">
      <alignment horizontal="left" vertical="center"/>
    </xf>
    <xf numFmtId="0" fontId="15" fillId="0" borderId="16" xfId="0" applyFont="1" applyBorder="1" applyAlignment="1">
      <alignment horizontal="left" vertical="center"/>
    </xf>
    <xf numFmtId="0" fontId="15" fillId="0" borderId="16" xfId="0" quotePrefix="1" applyFont="1" applyBorder="1" applyAlignment="1">
      <alignment horizontal="left" vertical="center"/>
    </xf>
    <xf numFmtId="0" fontId="15" fillId="0" borderId="23" xfId="0" applyFont="1" applyFill="1" applyBorder="1" applyAlignment="1">
      <alignment horizontal="left" vertical="center"/>
    </xf>
    <xf numFmtId="0" fontId="15" fillId="0" borderId="16" xfId="0" applyFont="1" applyFill="1" applyBorder="1" applyAlignment="1">
      <alignment horizontal="left" vertical="center"/>
    </xf>
    <xf numFmtId="0" fontId="15" fillId="0" borderId="16" xfId="0" quotePrefix="1" applyFont="1" applyFill="1" applyBorder="1" applyAlignment="1">
      <alignment horizontal="left" vertical="center"/>
    </xf>
    <xf numFmtId="0" fontId="15" fillId="0" borderId="23" xfId="0" applyFont="1" applyBorder="1" applyAlignment="1">
      <alignment horizontal="left" vertical="center"/>
    </xf>
    <xf numFmtId="0" fontId="15" fillId="0" borderId="16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167" fontId="15" fillId="0" borderId="16" xfId="0" applyNumberFormat="1" applyFont="1" applyFill="1" applyBorder="1"/>
    <xf numFmtId="2" fontId="15" fillId="0" borderId="0" xfId="0" applyNumberFormat="1" applyFont="1" applyBorder="1"/>
    <xf numFmtId="0" fontId="39" fillId="0" borderId="0" xfId="0" applyFont="1" applyBorder="1" applyAlignment="1">
      <alignment horizontal="right"/>
    </xf>
    <xf numFmtId="0" fontId="39" fillId="0" borderId="1" xfId="0" applyFont="1" applyBorder="1"/>
    <xf numFmtId="0" fontId="39" fillId="0" borderId="2" xfId="0" applyFont="1" applyBorder="1"/>
    <xf numFmtId="0" fontId="15" fillId="0" borderId="13" xfId="0" applyFont="1" applyBorder="1" applyAlignment="1">
      <alignment vertical="center"/>
    </xf>
    <xf numFmtId="0" fontId="15" fillId="0" borderId="16" xfId="0" applyFont="1" applyFill="1" applyBorder="1" applyAlignment="1">
      <alignment vertical="center"/>
    </xf>
    <xf numFmtId="0" fontId="18" fillId="0" borderId="0" xfId="0" applyFont="1" applyBorder="1" applyAlignment="1"/>
    <xf numFmtId="167" fontId="18" fillId="0" borderId="0" xfId="0" applyNumberFormat="1" applyFont="1" applyBorder="1" applyAlignment="1"/>
    <xf numFmtId="0" fontId="0" fillId="0" borderId="0" xfId="0" applyBorder="1"/>
    <xf numFmtId="0" fontId="20" fillId="0" borderId="1" xfId="0" applyFont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/>
    </xf>
    <xf numFmtId="0" fontId="15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15" fillId="0" borderId="1" xfId="0" applyFont="1" applyBorder="1" applyAlignment="1">
      <alignment horizontal="left"/>
    </xf>
    <xf numFmtId="0" fontId="45" fillId="0" borderId="0" xfId="0" applyFont="1"/>
    <xf numFmtId="0" fontId="44" fillId="0" borderId="0" xfId="0" applyFont="1"/>
    <xf numFmtId="0" fontId="0" fillId="0" borderId="0" xfId="0" applyBorder="1"/>
    <xf numFmtId="0" fontId="15" fillId="0" borderId="0" xfId="0" applyFont="1" applyBorder="1" applyAlignment="1">
      <alignment horizontal="left"/>
    </xf>
    <xf numFmtId="0" fontId="44" fillId="0" borderId="0" xfId="0" applyFont="1" applyAlignment="1">
      <alignment vertical="center"/>
    </xf>
    <xf numFmtId="0" fontId="5" fillId="0" borderId="9" xfId="0" applyFont="1" applyBorder="1"/>
    <xf numFmtId="2" fontId="15" fillId="0" borderId="10" xfId="0" applyNumberFormat="1" applyFont="1" applyFill="1" applyBorder="1"/>
    <xf numFmtId="0" fontId="5" fillId="0" borderId="9" xfId="0" applyFont="1" applyFill="1" applyBorder="1"/>
    <xf numFmtId="0" fontId="16" fillId="0" borderId="31" xfId="0" applyFont="1" applyBorder="1"/>
    <xf numFmtId="0" fontId="16" fillId="0" borderId="32" xfId="0" applyFont="1" applyBorder="1"/>
    <xf numFmtId="0" fontId="47" fillId="0" borderId="1" xfId="0" applyFont="1" applyFill="1" applyBorder="1"/>
    <xf numFmtId="0" fontId="47" fillId="0" borderId="0" xfId="0" applyFont="1" applyFill="1" applyBorder="1"/>
    <xf numFmtId="0" fontId="48" fillId="0" borderId="0" xfId="0" applyFont="1" applyFill="1" applyBorder="1"/>
    <xf numFmtId="0" fontId="47" fillId="0" borderId="0" xfId="0" applyFont="1" applyBorder="1"/>
    <xf numFmtId="0" fontId="47" fillId="0" borderId="0" xfId="0" applyFont="1" applyBorder="1" applyAlignment="1">
      <alignment horizontal="right"/>
    </xf>
    <xf numFmtId="0" fontId="15" fillId="0" borderId="0" xfId="0" applyFont="1" applyBorder="1" applyAlignment="1">
      <alignment vertical="center"/>
    </xf>
    <xf numFmtId="0" fontId="47" fillId="0" borderId="1" xfId="0" applyFont="1" applyBorder="1"/>
    <xf numFmtId="0" fontId="47" fillId="0" borderId="1" xfId="0" applyFont="1" applyBorder="1" applyAlignment="1">
      <alignment horizontal="left"/>
    </xf>
    <xf numFmtId="0" fontId="47" fillId="0" borderId="0" xfId="0" applyFont="1" applyBorder="1" applyAlignment="1">
      <alignment horizontal="left"/>
    </xf>
    <xf numFmtId="0" fontId="47" fillId="0" borderId="0" xfId="0" applyFont="1"/>
    <xf numFmtId="0" fontId="47" fillId="0" borderId="6" xfId="0" applyFont="1" applyFill="1" applyBorder="1"/>
    <xf numFmtId="0" fontId="48" fillId="0" borderId="1" xfId="0" applyFont="1" applyFill="1" applyBorder="1"/>
    <xf numFmtId="0" fontId="47" fillId="0" borderId="5" xfId="0" applyFont="1" applyBorder="1"/>
    <xf numFmtId="0" fontId="47" fillId="0" borderId="5" xfId="0" applyFont="1" applyFill="1" applyBorder="1"/>
    <xf numFmtId="0" fontId="49" fillId="0" borderId="5" xfId="0" applyFont="1" applyFill="1" applyBorder="1"/>
    <xf numFmtId="0" fontId="50" fillId="0" borderId="1" xfId="0" applyFont="1" applyBorder="1"/>
    <xf numFmtId="0" fontId="47" fillId="0" borderId="12" xfId="0" applyFont="1" applyFill="1" applyBorder="1"/>
    <xf numFmtId="0" fontId="47" fillId="0" borderId="21" xfId="0" applyFont="1" applyBorder="1"/>
    <xf numFmtId="0" fontId="47" fillId="0" borderId="21" xfId="0" applyFont="1" applyFill="1" applyBorder="1"/>
    <xf numFmtId="0" fontId="47" fillId="0" borderId="22" xfId="0" applyFont="1" applyBorder="1"/>
    <xf numFmtId="0" fontId="49" fillId="0" borderId="16" xfId="0" applyFont="1" applyFill="1" applyBorder="1"/>
    <xf numFmtId="0" fontId="47" fillId="0" borderId="16" xfId="0" applyFont="1" applyFill="1" applyBorder="1"/>
    <xf numFmtId="0" fontId="47" fillId="0" borderId="17" xfId="0" applyFont="1" applyFill="1" applyBorder="1"/>
    <xf numFmtId="0" fontId="15" fillId="0" borderId="10" xfId="0" applyFont="1" applyBorder="1" applyAlignment="1">
      <alignment horizontal="left"/>
    </xf>
    <xf numFmtId="0" fontId="15" fillId="0" borderId="10" xfId="0" applyFont="1" applyBorder="1" applyAlignment="1">
      <alignment horizontal="left" vertical="center"/>
    </xf>
    <xf numFmtId="2" fontId="15" fillId="0" borderId="11" xfId="0" applyNumberFormat="1" applyFont="1" applyFill="1" applyBorder="1" applyAlignment="1">
      <alignment horizontal="right"/>
    </xf>
    <xf numFmtId="0" fontId="47" fillId="0" borderId="23" xfId="0" applyFont="1" applyFill="1" applyBorder="1" applyAlignment="1">
      <alignment horizontal="left"/>
    </xf>
    <xf numFmtId="0" fontId="47" fillId="0" borderId="13" xfId="0" applyFont="1" applyFill="1" applyBorder="1"/>
    <xf numFmtId="0" fontId="47" fillId="0" borderId="16" xfId="0" applyFont="1" applyBorder="1" applyAlignment="1">
      <alignment horizontal="left"/>
    </xf>
    <xf numFmtId="0" fontId="49" fillId="0" borderId="23" xfId="0" applyFont="1" applyFill="1" applyBorder="1"/>
    <xf numFmtId="0" fontId="47" fillId="0" borderId="16" xfId="0" applyFont="1" applyFill="1" applyBorder="1" applyAlignment="1">
      <alignment horizontal="left"/>
    </xf>
    <xf numFmtId="0" fontId="47" fillId="0" borderId="23" xfId="0" applyFont="1" applyBorder="1" applyAlignment="1">
      <alignment horizontal="left"/>
    </xf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left"/>
    </xf>
    <xf numFmtId="0" fontId="15" fillId="0" borderId="1" xfId="0" applyFont="1" applyBorder="1" applyAlignment="1">
      <alignment horizontal="center"/>
    </xf>
    <xf numFmtId="0" fontId="39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center"/>
    </xf>
    <xf numFmtId="0" fontId="47" fillId="0" borderId="14" xfId="0" applyFont="1" applyFill="1" applyBorder="1"/>
    <xf numFmtId="0" fontId="1" fillId="0" borderId="0" xfId="0" applyFont="1" applyAlignment="1"/>
    <xf numFmtId="0" fontId="53" fillId="0" borderId="0" xfId="0" applyFont="1"/>
    <xf numFmtId="0" fontId="54" fillId="0" borderId="1" xfId="0" applyFont="1" applyBorder="1"/>
    <xf numFmtId="2" fontId="15" fillId="0" borderId="9" xfId="0" applyNumberFormat="1" applyFont="1" applyFill="1" applyBorder="1"/>
    <xf numFmtId="0" fontId="15" fillId="0" borderId="11" xfId="0" applyFont="1" applyFill="1" applyBorder="1"/>
    <xf numFmtId="0" fontId="39" fillId="0" borderId="4" xfId="0" applyFont="1" applyBorder="1"/>
    <xf numFmtId="0" fontId="16" fillId="0" borderId="45" xfId="0" applyFont="1" applyBorder="1"/>
    <xf numFmtId="164" fontId="1" fillId="0" borderId="46" xfId="0" applyNumberFormat="1" applyFont="1" applyFill="1" applyBorder="1" applyProtection="1"/>
    <xf numFmtId="2" fontId="15" fillId="0" borderId="4" xfId="0" applyNumberFormat="1" applyFont="1" applyFill="1" applyBorder="1" applyAlignment="1">
      <alignment horizontal="right"/>
    </xf>
    <xf numFmtId="2" fontId="15" fillId="0" borderId="4" xfId="0" applyNumberFormat="1" applyFont="1" applyFill="1" applyBorder="1" applyAlignment="1"/>
    <xf numFmtId="2" fontId="1" fillId="0" borderId="19" xfId="0" applyNumberFormat="1" applyFont="1" applyFill="1" applyBorder="1"/>
    <xf numFmtId="164" fontId="1" fillId="0" borderId="19" xfId="0" applyNumberFormat="1" applyFont="1" applyFill="1" applyBorder="1"/>
    <xf numFmtId="2" fontId="15" fillId="0" borderId="46" xfId="0" applyNumberFormat="1" applyFont="1" applyFill="1" applyBorder="1"/>
    <xf numFmtId="164" fontId="15" fillId="0" borderId="19" xfId="0" applyNumberFormat="1" applyFont="1" applyFill="1" applyBorder="1"/>
    <xf numFmtId="2" fontId="15" fillId="0" borderId="4" xfId="0" applyNumberFormat="1" applyFont="1" applyBorder="1"/>
    <xf numFmtId="2" fontId="15" fillId="0" borderId="46" xfId="0" applyNumberFormat="1" applyFont="1" applyFill="1" applyBorder="1" applyAlignment="1">
      <alignment horizontal="right"/>
    </xf>
    <xf numFmtId="2" fontId="15" fillId="0" borderId="19" xfId="0" applyNumberFormat="1" applyFont="1" applyFill="1" applyBorder="1" applyAlignment="1">
      <alignment horizontal="right"/>
    </xf>
    <xf numFmtId="167" fontId="15" fillId="0" borderId="19" xfId="0" applyNumberFormat="1" applyFont="1" applyFill="1" applyBorder="1" applyAlignment="1">
      <alignment horizontal="right"/>
    </xf>
    <xf numFmtId="164" fontId="15" fillId="0" borderId="19" xfId="0" applyNumberFormat="1" applyFont="1" applyFill="1" applyBorder="1" applyAlignment="1">
      <alignment horizontal="right"/>
    </xf>
    <xf numFmtId="167" fontId="15" fillId="0" borderId="19" xfId="0" applyNumberFormat="1" applyFont="1" applyBorder="1"/>
    <xf numFmtId="167" fontId="15" fillId="0" borderId="20" xfId="0" applyNumberFormat="1" applyFont="1" applyBorder="1" applyAlignment="1"/>
    <xf numFmtId="2" fontId="15" fillId="0" borderId="0" xfId="0" applyNumberFormat="1" applyFont="1" applyFill="1" applyBorder="1" applyAlignment="1">
      <alignment horizontal="right"/>
    </xf>
    <xf numFmtId="0" fontId="0" fillId="0" borderId="0" xfId="0" applyFont="1"/>
    <xf numFmtId="166" fontId="47" fillId="0" borderId="0" xfId="0" applyNumberFormat="1" applyFont="1" applyFill="1" applyBorder="1" applyAlignment="1">
      <alignment horizontal="right"/>
    </xf>
    <xf numFmtId="2" fontId="0" fillId="0" borderId="0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0" fontId="53" fillId="0" borderId="0" xfId="0" applyFont="1" applyFill="1"/>
    <xf numFmtId="0" fontId="47" fillId="0" borderId="0" xfId="0" applyFont="1" applyAlignment="1">
      <alignment horizontal="left"/>
    </xf>
    <xf numFmtId="0" fontId="19" fillId="0" borderId="9" xfId="0" applyFont="1" applyBorder="1"/>
    <xf numFmtId="2" fontId="15" fillId="0" borderId="10" xfId="0" applyNumberFormat="1" applyFont="1" applyBorder="1"/>
    <xf numFmtId="0" fontId="16" fillId="0" borderId="9" xfId="0" applyFont="1" applyFill="1" applyBorder="1"/>
    <xf numFmtId="0" fontId="16" fillId="0" borderId="47" xfId="0" applyFont="1" applyBorder="1"/>
    <xf numFmtId="0" fontId="16" fillId="0" borderId="9" xfId="0" applyFont="1" applyBorder="1" applyAlignment="1">
      <alignment horizontal="left"/>
    </xf>
    <xf numFmtId="0" fontId="0" fillId="0" borderId="0" xfId="0" applyBorder="1"/>
    <xf numFmtId="0" fontId="15" fillId="0" borderId="0" xfId="0" applyFont="1" applyBorder="1" applyAlignment="1">
      <alignment horizontal="left"/>
    </xf>
    <xf numFmtId="2" fontId="15" fillId="0" borderId="0" xfId="0" applyNumberFormat="1" applyFont="1" applyFill="1" applyBorder="1" applyAlignment="1">
      <alignment horizontal="left"/>
    </xf>
    <xf numFmtId="2" fontId="16" fillId="0" borderId="5" xfId="0" applyNumberFormat="1" applyFont="1" applyFill="1" applyBorder="1" applyAlignment="1">
      <alignment horizontal="center"/>
    </xf>
    <xf numFmtId="2" fontId="16" fillId="0" borderId="2" xfId="0" applyNumberFormat="1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/>
    </xf>
    <xf numFmtId="0" fontId="0" fillId="0" borderId="0" xfId="0" applyBorder="1"/>
    <xf numFmtId="0" fontId="16" fillId="0" borderId="1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44" fillId="0" borderId="38" xfId="0" applyFont="1" applyBorder="1" applyAlignment="1">
      <alignment horizontal="center" vertical="center" textRotation="90"/>
    </xf>
    <xf numFmtId="0" fontId="34" fillId="0" borderId="29" xfId="0" applyFont="1" applyBorder="1" applyAlignment="1">
      <alignment horizontal="center" vertical="center" textRotation="90"/>
    </xf>
    <xf numFmtId="0" fontId="34" fillId="0" borderId="41" xfId="0" applyFont="1" applyBorder="1" applyAlignment="1">
      <alignment horizontal="center" vertical="center" textRotation="90"/>
    </xf>
    <xf numFmtId="0" fontId="36" fillId="0" borderId="35" xfId="0" applyFont="1" applyBorder="1" applyAlignment="1">
      <alignment horizontal="center" vertical="center" textRotation="90"/>
    </xf>
    <xf numFmtId="0" fontId="36" fillId="0" borderId="21" xfId="0" applyFont="1" applyBorder="1" applyAlignment="1">
      <alignment horizontal="center" vertical="center" textRotation="90"/>
    </xf>
    <xf numFmtId="0" fontId="36" fillId="0" borderId="34" xfId="0" applyFont="1" applyBorder="1" applyAlignment="1">
      <alignment horizontal="center" vertical="center" textRotation="90"/>
    </xf>
    <xf numFmtId="0" fontId="20" fillId="0" borderId="1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2" fontId="15" fillId="0" borderId="0" xfId="0" applyNumberFormat="1" applyFont="1" applyFill="1" applyBorder="1" applyAlignment="1">
      <alignment horizontal="left" vertical="distributed"/>
    </xf>
    <xf numFmtId="2" fontId="15" fillId="0" borderId="4" xfId="0" applyNumberFormat="1" applyFont="1" applyFill="1" applyBorder="1" applyAlignment="1">
      <alignment horizontal="left" vertical="distributed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5" fillId="0" borderId="4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/>
    </xf>
    <xf numFmtId="0" fontId="15" fillId="0" borderId="0" xfId="0" applyFont="1" applyBorder="1" applyAlignment="1">
      <alignment horizontal="left"/>
    </xf>
    <xf numFmtId="0" fontId="16" fillId="0" borderId="9" xfId="0" applyFont="1" applyFill="1" applyBorder="1" applyAlignment="1">
      <alignment horizontal="left"/>
    </xf>
    <xf numFmtId="0" fontId="21" fillId="0" borderId="10" xfId="0" applyFont="1" applyFill="1" applyBorder="1" applyAlignment="1">
      <alignment horizontal="left"/>
    </xf>
    <xf numFmtId="0" fontId="21" fillId="0" borderId="11" xfId="0" applyFont="1" applyFill="1" applyBorder="1" applyAlignment="1">
      <alignment horizontal="left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 vertical="center"/>
    </xf>
    <xf numFmtId="0" fontId="19" fillId="0" borderId="0" xfId="0" applyFont="1" applyAlignment="1">
      <alignment horizontal="left"/>
    </xf>
    <xf numFmtId="0" fontId="20" fillId="0" borderId="37" xfId="0" applyFont="1" applyBorder="1" applyAlignment="1">
      <alignment horizontal="left"/>
    </xf>
    <xf numFmtId="0" fontId="20" fillId="0" borderId="38" xfId="0" applyFont="1" applyBorder="1" applyAlignment="1">
      <alignment horizontal="left"/>
    </xf>
    <xf numFmtId="0" fontId="15" fillId="0" borderId="39" xfId="0" applyFont="1" applyBorder="1" applyAlignment="1">
      <alignment horizontal="left"/>
    </xf>
    <xf numFmtId="0" fontId="15" fillId="0" borderId="40" xfId="0" applyFont="1" applyBorder="1" applyAlignment="1">
      <alignment horizontal="left"/>
    </xf>
    <xf numFmtId="0" fontId="15" fillId="0" borderId="38" xfId="0" applyFont="1" applyBorder="1" applyAlignment="1">
      <alignment horizontal="left"/>
    </xf>
    <xf numFmtId="0" fontId="15" fillId="0" borderId="1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5" fillId="0" borderId="13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29" xfId="0" applyFont="1" applyBorder="1" applyAlignment="1">
      <alignment horizontal="center"/>
    </xf>
    <xf numFmtId="0" fontId="16" fillId="0" borderId="43" xfId="0" applyFont="1" applyBorder="1" applyAlignment="1">
      <alignment horizontal="left"/>
    </xf>
    <xf numFmtId="0" fontId="16" fillId="0" borderId="30" xfId="0" applyFont="1" applyBorder="1" applyAlignment="1">
      <alignment horizontal="left"/>
    </xf>
    <xf numFmtId="0" fontId="16" fillId="0" borderId="44" xfId="0" applyFont="1" applyBorder="1" applyAlignment="1">
      <alignment horizontal="left"/>
    </xf>
    <xf numFmtId="0" fontId="15" fillId="0" borderId="13" xfId="0" quotePrefix="1" applyFont="1" applyBorder="1" applyAlignment="1">
      <alignment horizontal="center"/>
    </xf>
    <xf numFmtId="0" fontId="15" fillId="0" borderId="0" xfId="0" quotePrefix="1" applyFont="1" applyBorder="1" applyAlignment="1">
      <alignment horizontal="center"/>
    </xf>
    <xf numFmtId="0" fontId="15" fillId="0" borderId="29" xfId="0" quotePrefix="1" applyFont="1" applyBorder="1" applyAlignment="1">
      <alignment horizontal="center"/>
    </xf>
    <xf numFmtId="0" fontId="15" fillId="0" borderId="13" xfId="0" applyFont="1" applyBorder="1" applyAlignment="1">
      <alignment horizontal="left"/>
    </xf>
    <xf numFmtId="0" fontId="15" fillId="0" borderId="29" xfId="0" applyFont="1" applyBorder="1" applyAlignment="1">
      <alignment horizontal="left"/>
    </xf>
    <xf numFmtId="0" fontId="15" fillId="0" borderId="1" xfId="0" applyFont="1" applyBorder="1" applyAlignment="1">
      <alignment horizontal="left"/>
    </xf>
    <xf numFmtId="0" fontId="15" fillId="0" borderId="13" xfId="0" applyFont="1" applyFill="1" applyBorder="1" applyAlignment="1">
      <alignment horizontal="left"/>
    </xf>
    <xf numFmtId="0" fontId="15" fillId="0" borderId="29" xfId="0" applyFont="1" applyFill="1" applyBorder="1" applyAlignment="1">
      <alignment horizontal="left"/>
    </xf>
    <xf numFmtId="0" fontId="39" fillId="0" borderId="13" xfId="0" applyFont="1" applyBorder="1" applyAlignment="1">
      <alignment horizontal="left" vertical="center"/>
    </xf>
    <xf numFmtId="0" fontId="39" fillId="0" borderId="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15" fillId="0" borderId="1" xfId="0" applyFont="1" applyFill="1" applyBorder="1" applyAlignment="1">
      <alignment horizontal="center"/>
    </xf>
    <xf numFmtId="0" fontId="15" fillId="0" borderId="29" xfId="0" applyFont="1" applyFill="1" applyBorder="1" applyAlignment="1">
      <alignment horizontal="center"/>
    </xf>
    <xf numFmtId="0" fontId="15" fillId="0" borderId="26" xfId="0" applyFont="1" applyBorder="1" applyAlignment="1">
      <alignment horizontal="left"/>
    </xf>
    <xf numFmtId="0" fontId="15" fillId="0" borderId="41" xfId="0" applyFont="1" applyBorder="1" applyAlignment="1">
      <alignment horizontal="left"/>
    </xf>
    <xf numFmtId="0" fontId="15" fillId="0" borderId="42" xfId="0" applyFont="1" applyBorder="1" applyAlignment="1">
      <alignment horizontal="left"/>
    </xf>
    <xf numFmtId="0" fontId="15" fillId="0" borderId="27" xfId="0" applyFont="1" applyBorder="1" applyAlignment="1">
      <alignment horizontal="left"/>
    </xf>
    <xf numFmtId="0" fontId="20" fillId="0" borderId="37" xfId="0" applyFont="1" applyFill="1" applyBorder="1" applyAlignment="1">
      <alignment horizontal="left" vertical="center"/>
    </xf>
    <xf numFmtId="0" fontId="20" fillId="0" borderId="38" xfId="0" applyFont="1" applyFill="1" applyBorder="1" applyAlignment="1">
      <alignment horizontal="left" vertical="center"/>
    </xf>
    <xf numFmtId="0" fontId="15" fillId="0" borderId="39" xfId="0" applyFont="1" applyFill="1" applyBorder="1" applyAlignment="1">
      <alignment horizontal="center"/>
    </xf>
    <xf numFmtId="0" fontId="15" fillId="0" borderId="40" xfId="0" applyFont="1" applyFill="1" applyBorder="1" applyAlignment="1">
      <alignment horizontal="center"/>
    </xf>
    <xf numFmtId="0" fontId="15" fillId="0" borderId="38" xfId="0" applyFont="1" applyFill="1" applyBorder="1" applyAlignment="1">
      <alignment horizontal="center"/>
    </xf>
    <xf numFmtId="0" fontId="15" fillId="0" borderId="13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29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6" xfId="0" applyFont="1" applyBorder="1" applyAlignment="1">
      <alignment horizontal="left"/>
    </xf>
    <xf numFmtId="0" fontId="20" fillId="0" borderId="29" xfId="0" applyFont="1" applyBorder="1" applyAlignment="1">
      <alignment horizontal="left"/>
    </xf>
    <xf numFmtId="0" fontId="17" fillId="0" borderId="13" xfId="0" applyFont="1" applyBorder="1" applyAlignment="1">
      <alignment horizontal="left"/>
    </xf>
    <xf numFmtId="0" fontId="17" fillId="0" borderId="0" xfId="0" applyFont="1" applyBorder="1" applyAlignment="1">
      <alignment horizontal="left"/>
    </xf>
    <xf numFmtId="0" fontId="17" fillId="0" borderId="29" xfId="0" applyFont="1" applyBorder="1" applyAlignment="1">
      <alignment horizontal="left"/>
    </xf>
    <xf numFmtId="0" fontId="15" fillId="0" borderId="26" xfId="0" applyFont="1" applyFill="1" applyBorder="1" applyAlignment="1">
      <alignment horizontal="center"/>
    </xf>
    <xf numFmtId="0" fontId="15" fillId="0" borderId="41" xfId="0" applyFont="1" applyFill="1" applyBorder="1" applyAlignment="1">
      <alignment horizontal="center"/>
    </xf>
    <xf numFmtId="0" fontId="20" fillId="0" borderId="37" xfId="0" applyFont="1" applyBorder="1" applyAlignment="1">
      <alignment horizontal="left" vertical="center"/>
    </xf>
    <xf numFmtId="0" fontId="20" fillId="0" borderId="38" xfId="0" applyFont="1" applyBorder="1" applyAlignment="1">
      <alignment horizontal="left" vertical="center"/>
    </xf>
    <xf numFmtId="0" fontId="15" fillId="0" borderId="49" xfId="0" applyFont="1" applyBorder="1" applyAlignment="1">
      <alignment horizontal="center"/>
    </xf>
    <xf numFmtId="0" fontId="15" fillId="0" borderId="49" xfId="0" applyFont="1" applyBorder="1" applyAlignment="1">
      <alignment horizontal="left"/>
    </xf>
    <xf numFmtId="0" fontId="47" fillId="0" borderId="49" xfId="0" applyFont="1" applyBorder="1" applyAlignment="1">
      <alignment horizontal="left"/>
    </xf>
    <xf numFmtId="0" fontId="15" fillId="0" borderId="49" xfId="0" applyFont="1" applyBorder="1" applyAlignment="1">
      <alignment horizontal="left" vertical="center"/>
    </xf>
    <xf numFmtId="2" fontId="15" fillId="0" borderId="50" xfId="0" applyNumberFormat="1" applyFont="1" applyFill="1" applyBorder="1" applyAlignment="1">
      <alignment horizontal="right"/>
    </xf>
    <xf numFmtId="0" fontId="15" fillId="0" borderId="49" xfId="0" applyFont="1" applyBorder="1" applyAlignment="1">
      <alignment horizontal="right"/>
    </xf>
    <xf numFmtId="0" fontId="15" fillId="0" borderId="48" xfId="0" applyFont="1" applyBorder="1" applyAlignment="1">
      <alignment horizontal="left"/>
    </xf>
  </cellXfs>
  <cellStyles count="1">
    <cellStyle name="Standaard" xfId="0" builtinId="0"/>
  </cellStyles>
  <dxfs count="3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wmf"/><Relationship Id="rId2" Type="http://schemas.openxmlformats.org/officeDocument/2006/relationships/image" Target="../media/image7.wmf"/><Relationship Id="rId1" Type="http://schemas.openxmlformats.org/officeDocument/2006/relationships/image" Target="../media/image6.emf"/><Relationship Id="rId4" Type="http://schemas.openxmlformats.org/officeDocument/2006/relationships/image" Target="../media/image9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176560</xdr:colOff>
      <xdr:row>2</xdr:row>
      <xdr:rowOff>9525</xdr:rowOff>
    </xdr:from>
    <xdr:to>
      <xdr:col>12</xdr:col>
      <xdr:colOff>600074</xdr:colOff>
      <xdr:row>12</xdr:row>
      <xdr:rowOff>180975</xdr:rowOff>
    </xdr:to>
    <xdr:pic>
      <xdr:nvPicPr>
        <xdr:cNvPr id="1269" name="Picture 6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2202" t="17238" r="30774" b="12857"/>
        <a:stretch>
          <a:fillRect/>
        </a:stretch>
      </xdr:blipFill>
      <xdr:spPr bwMode="auto">
        <a:xfrm>
          <a:off x="5491510" y="561975"/>
          <a:ext cx="1957039" cy="23145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333375</xdr:colOff>
      <xdr:row>17</xdr:row>
      <xdr:rowOff>9525</xdr:rowOff>
    </xdr:from>
    <xdr:to>
      <xdr:col>6</xdr:col>
      <xdr:colOff>333375</xdr:colOff>
      <xdr:row>24</xdr:row>
      <xdr:rowOff>0</xdr:rowOff>
    </xdr:to>
    <xdr:pic>
      <xdr:nvPicPr>
        <xdr:cNvPr id="2118" name="Picture 6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2440" t="23714" r="31548" b="18668"/>
        <a:stretch>
          <a:fillRect/>
        </a:stretch>
      </xdr:blipFill>
      <xdr:spPr bwMode="auto">
        <a:xfrm>
          <a:off x="2905125" y="8181975"/>
          <a:ext cx="1666875" cy="16668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266700</xdr:colOff>
      <xdr:row>47</xdr:row>
      <xdr:rowOff>133350</xdr:rowOff>
    </xdr:from>
    <xdr:to>
      <xdr:col>7</xdr:col>
      <xdr:colOff>847725</xdr:colOff>
      <xdr:row>59</xdr:row>
      <xdr:rowOff>29277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57400" y="1504950"/>
          <a:ext cx="3305175" cy="2296227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oleObject" Target="../embeddings/oleObject2.bin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7.bin"/><Relationship Id="rId3" Type="http://schemas.openxmlformats.org/officeDocument/2006/relationships/vmlDrawing" Target="../drawings/vmlDrawing2.vml"/><Relationship Id="rId7" Type="http://schemas.openxmlformats.org/officeDocument/2006/relationships/oleObject" Target="../embeddings/oleObject6.bin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5.bin"/><Relationship Id="rId5" Type="http://schemas.openxmlformats.org/officeDocument/2006/relationships/oleObject" Target="../embeddings/oleObject4.bin"/><Relationship Id="rId4" Type="http://schemas.openxmlformats.org/officeDocument/2006/relationships/oleObject" Target="../embeddings/oleObject3.bin"/><Relationship Id="rId9" Type="http://schemas.openxmlformats.org/officeDocument/2006/relationships/oleObject" Target="../embeddings/oleObject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64"/>
  <sheetViews>
    <sheetView tabSelected="1" topLeftCell="A22" zoomScaleNormal="100" workbookViewId="0">
      <selection activeCell="E39" sqref="E39:G39"/>
    </sheetView>
  </sheetViews>
  <sheetFormatPr defaultRowHeight="15"/>
  <cols>
    <col min="1" max="1" width="10" customWidth="1"/>
    <col min="2" max="2" width="11.42578125" customWidth="1"/>
    <col min="3" max="3" width="8.5703125" customWidth="1"/>
    <col min="4" max="4" width="5.7109375" customWidth="1"/>
    <col min="6" max="6" width="8.5703125" customWidth="1"/>
    <col min="7" max="7" width="7.140625" customWidth="1"/>
    <col min="8" max="8" width="7.85546875" customWidth="1"/>
    <col min="9" max="9" width="11.28515625" customWidth="1"/>
    <col min="10" max="10" width="4.7109375" bestFit="1" customWidth="1"/>
  </cols>
  <sheetData>
    <row r="1" spans="1:15" ht="29.25">
      <c r="A1" s="187" t="s">
        <v>156</v>
      </c>
      <c r="B1" s="186"/>
      <c r="C1" s="186"/>
    </row>
    <row r="2" spans="1:15" ht="14.25" customHeight="1" thickBot="1"/>
    <row r="3" spans="1:15" ht="18.75" customHeight="1">
      <c r="A3" s="19" t="s">
        <v>7</v>
      </c>
      <c r="B3" s="12"/>
      <c r="C3" s="12"/>
      <c r="D3" s="4"/>
      <c r="E3" s="36"/>
      <c r="F3" s="36"/>
      <c r="G3" s="83" t="s">
        <v>12</v>
      </c>
      <c r="H3" s="12"/>
      <c r="I3" s="4"/>
      <c r="J3" s="4"/>
      <c r="K3" s="36"/>
      <c r="L3" s="36"/>
      <c r="M3" s="50"/>
      <c r="N3" s="276" t="s">
        <v>19</v>
      </c>
    </row>
    <row r="4" spans="1:15">
      <c r="A4" s="196" t="s">
        <v>4</v>
      </c>
      <c r="B4" s="11">
        <v>100</v>
      </c>
      <c r="C4" s="6" t="s">
        <v>3</v>
      </c>
      <c r="D4" s="6"/>
      <c r="E4" s="176"/>
      <c r="F4" s="176"/>
      <c r="G4" s="197" t="s">
        <v>13</v>
      </c>
      <c r="H4" s="148">
        <v>210000</v>
      </c>
      <c r="I4" s="6" t="s">
        <v>15</v>
      </c>
      <c r="J4" s="49"/>
      <c r="K4" s="47"/>
      <c r="L4" s="176"/>
      <c r="M4" s="15"/>
      <c r="N4" s="277"/>
      <c r="O4" s="6"/>
    </row>
    <row r="5" spans="1:15">
      <c r="A5" s="196" t="s">
        <v>5</v>
      </c>
      <c r="B5" s="11">
        <v>50</v>
      </c>
      <c r="C5" s="6" t="s">
        <v>3</v>
      </c>
      <c r="D5" s="6"/>
      <c r="E5" s="176"/>
      <c r="F5" s="176"/>
      <c r="G5" s="198" t="s">
        <v>65</v>
      </c>
      <c r="H5" s="148">
        <v>0.3</v>
      </c>
      <c r="I5" s="6"/>
      <c r="J5" s="176"/>
      <c r="K5" s="176"/>
      <c r="L5" s="176"/>
      <c r="M5" s="15"/>
      <c r="N5" s="277"/>
      <c r="O5" s="6"/>
    </row>
    <row r="6" spans="1:15" ht="18.75">
      <c r="A6" s="196" t="s">
        <v>6</v>
      </c>
      <c r="B6" s="11">
        <v>20</v>
      </c>
      <c r="C6" s="6" t="s">
        <v>3</v>
      </c>
      <c r="D6" s="6"/>
      <c r="E6" s="176"/>
      <c r="F6" s="176"/>
      <c r="G6" s="199" t="s">
        <v>146</v>
      </c>
      <c r="H6" s="11">
        <v>350</v>
      </c>
      <c r="I6" s="6" t="s">
        <v>15</v>
      </c>
      <c r="J6" s="49"/>
      <c r="K6" s="48"/>
      <c r="L6" s="176"/>
      <c r="M6" s="15"/>
      <c r="N6" s="277"/>
      <c r="O6" s="6"/>
    </row>
    <row r="7" spans="1:15" ht="18.75">
      <c r="A7" s="196" t="s">
        <v>2</v>
      </c>
      <c r="B7" s="11">
        <v>1</v>
      </c>
      <c r="C7" s="6" t="s">
        <v>3</v>
      </c>
      <c r="D7" s="6"/>
      <c r="E7" s="176"/>
      <c r="F7" s="176"/>
      <c r="G7" s="197" t="s">
        <v>167</v>
      </c>
      <c r="H7" s="148">
        <v>1</v>
      </c>
      <c r="I7" s="6"/>
      <c r="J7" s="176"/>
      <c r="K7" s="176"/>
      <c r="L7" s="176"/>
      <c r="M7" s="15"/>
      <c r="N7" s="277"/>
      <c r="O7" s="6"/>
    </row>
    <row r="8" spans="1:15" ht="18.75">
      <c r="A8" s="196" t="s">
        <v>1</v>
      </c>
      <c r="B8" s="154">
        <v>-0.5</v>
      </c>
      <c r="C8" s="6" t="s">
        <v>3</v>
      </c>
      <c r="D8" s="6"/>
      <c r="E8" s="176"/>
      <c r="F8" s="176"/>
      <c r="G8" s="197" t="s">
        <v>168</v>
      </c>
      <c r="H8" s="148">
        <v>1</v>
      </c>
      <c r="I8" s="6"/>
      <c r="J8" s="176"/>
      <c r="K8" s="176"/>
      <c r="L8" s="176"/>
      <c r="M8" s="15"/>
      <c r="N8" s="277"/>
      <c r="O8" s="6"/>
    </row>
    <row r="9" spans="1:15">
      <c r="A9" s="132" t="str">
        <f>IF(Profieleigenschappen!C13&lt;=Profieleigenschappen!E13,IF(Profieleigenschappen!C14&lt;=Profieleigenschappen!E14,"Invl. afrondingsstralen mag worden genegeerd","Invl. afrondingsstralen mag niet worden genegeerd"),"Invl. afrondingsstralen mag niet worden genegeerd")</f>
        <v>Invl. afrondingsstralen mag worden genegeerd</v>
      </c>
      <c r="B9" s="115"/>
      <c r="C9" s="115"/>
      <c r="D9" s="6"/>
      <c r="E9" s="115"/>
      <c r="F9" s="176"/>
      <c r="G9" s="6"/>
      <c r="H9" s="148"/>
      <c r="I9" s="6"/>
      <c r="J9" s="176"/>
      <c r="K9" s="105"/>
      <c r="L9" s="176"/>
      <c r="M9" s="51"/>
      <c r="N9" s="277"/>
      <c r="O9" s="6"/>
    </row>
    <row r="10" spans="1:15" ht="18.75">
      <c r="A10" s="132" t="str">
        <f>IF(Profieleigenschappen!C13&lt;=Profieleigenschappen!E13,IF(Profieleigenschappen!C14&lt;=Profieleigenschappen!E14,"Dit kan door handmatig r = - 0,5 * t in te voeren"," ")," ")</f>
        <v>Dit kan door handmatig r = - 0,5 * t in te voeren</v>
      </c>
      <c r="B10" s="176"/>
      <c r="C10" s="176"/>
      <c r="D10" s="176"/>
      <c r="E10" s="176"/>
      <c r="F10" s="176"/>
      <c r="G10" s="139"/>
      <c r="H10" s="100"/>
      <c r="I10" s="176"/>
      <c r="J10" s="176"/>
      <c r="K10" s="105"/>
      <c r="L10" s="176"/>
      <c r="M10" s="51"/>
      <c r="N10" s="277"/>
      <c r="O10" s="6"/>
    </row>
    <row r="11" spans="1:15" ht="15" customHeight="1">
      <c r="A11" s="1"/>
      <c r="B11" s="115"/>
      <c r="C11" s="115"/>
      <c r="D11" s="6"/>
      <c r="E11" s="115"/>
      <c r="F11" s="11"/>
      <c r="G11" s="6"/>
      <c r="H11" s="100"/>
      <c r="I11" s="131"/>
      <c r="J11" s="176"/>
      <c r="K11" s="105"/>
      <c r="L11" s="176"/>
      <c r="M11" s="51"/>
      <c r="N11" s="277"/>
      <c r="O11" s="6"/>
    </row>
    <row r="12" spans="1:15">
      <c r="A12" s="272" t="str">
        <f>IF(SUM(Profieleigenschappen!I4:I7)=4,"Profiel fysisch mogelijk","Profiel fysisch niet mogelijk")</f>
        <v>Profiel fysisch mogelijk</v>
      </c>
      <c r="B12" s="273"/>
      <c r="C12" s="273"/>
      <c r="D12" s="6"/>
      <c r="E12" s="176"/>
      <c r="F12" s="176"/>
      <c r="G12" s="176"/>
      <c r="H12" s="176"/>
      <c r="I12" s="176"/>
      <c r="J12" s="176"/>
      <c r="K12" s="176"/>
      <c r="L12" s="176"/>
      <c r="M12" s="51"/>
      <c r="N12" s="277"/>
      <c r="O12" s="6"/>
    </row>
    <row r="13" spans="1:15">
      <c r="A13" s="85"/>
      <c r="B13" s="86"/>
      <c r="C13" s="86"/>
      <c r="D13" s="87"/>
      <c r="E13" s="87"/>
      <c r="F13" s="87"/>
      <c r="G13" s="87"/>
      <c r="H13" s="87"/>
      <c r="I13" s="87"/>
      <c r="J13" s="87"/>
      <c r="K13" s="88"/>
      <c r="L13" s="87"/>
      <c r="M13" s="89"/>
      <c r="N13" s="278"/>
      <c r="O13" s="6"/>
    </row>
    <row r="14" spans="1:15">
      <c r="A14" s="16" t="s">
        <v>25</v>
      </c>
      <c r="B14" s="6"/>
      <c r="C14" s="6"/>
      <c r="D14" s="6"/>
      <c r="E14" s="6"/>
      <c r="F14" s="6"/>
      <c r="G14" s="6"/>
      <c r="H14" s="6"/>
      <c r="I14" s="6"/>
      <c r="J14" s="6"/>
      <c r="K14" s="176"/>
      <c r="L14" s="82"/>
      <c r="M14" s="15"/>
      <c r="N14" s="81"/>
      <c r="O14" s="6"/>
    </row>
    <row r="15" spans="1:15" ht="18" customHeight="1">
      <c r="A15" s="177" t="s">
        <v>26</v>
      </c>
      <c r="B15" s="183"/>
      <c r="C15" s="8"/>
      <c r="D15" s="176"/>
      <c r="E15" s="52" t="s">
        <v>117</v>
      </c>
      <c r="F15" s="45">
        <f>B7</f>
        <v>1</v>
      </c>
      <c r="G15" s="183" t="s">
        <v>150</v>
      </c>
      <c r="H15" s="269" t="str">
        <f>IF(F15&gt;=1,IF(F15&lt;=8,"Voldoet","Voldoet niet"),"Voldoet niet")</f>
        <v>Voldoet</v>
      </c>
      <c r="I15" s="269"/>
      <c r="J15" s="178"/>
      <c r="K15" s="176"/>
      <c r="L15" s="82"/>
      <c r="M15" s="53"/>
      <c r="N15" s="149">
        <f>IF(H15="Voldoet niet",0,1)</f>
        <v>1</v>
      </c>
      <c r="O15" s="6"/>
    </row>
    <row r="16" spans="1:15" ht="18" customHeight="1">
      <c r="A16" s="282" t="s">
        <v>27</v>
      </c>
      <c r="B16" s="283"/>
      <c r="C16" s="8" t="s">
        <v>31</v>
      </c>
      <c r="D16" s="176"/>
      <c r="E16" s="200" t="s">
        <v>30</v>
      </c>
      <c r="F16" s="45">
        <f>B4/B7</f>
        <v>100</v>
      </c>
      <c r="G16" s="183" t="s">
        <v>151</v>
      </c>
      <c r="H16" s="284" t="str">
        <f>IF(F16&lt;=500,"Voldoet","Voldoet niet")</f>
        <v>Voldoet</v>
      </c>
      <c r="I16" s="284"/>
      <c r="J16" s="183"/>
      <c r="K16" s="183"/>
      <c r="L16" s="183"/>
      <c r="M16" s="53"/>
      <c r="N16" s="149">
        <f>IF(H18="Voldoet niet",0,1)</f>
        <v>1</v>
      </c>
      <c r="O16" s="6"/>
    </row>
    <row r="17" spans="1:22" ht="18" customHeight="1">
      <c r="A17" s="185"/>
      <c r="B17" s="183"/>
      <c r="C17" s="8" t="s">
        <v>32</v>
      </c>
      <c r="D17" s="176"/>
      <c r="E17" s="200" t="s">
        <v>33</v>
      </c>
      <c r="F17" s="45">
        <f>B5/B7</f>
        <v>50</v>
      </c>
      <c r="G17" s="183" t="s">
        <v>152</v>
      </c>
      <c r="H17" s="284" t="str">
        <f>IF(F17&lt;=60,"Voldoet","Voldoet niet")</f>
        <v>Voldoet</v>
      </c>
      <c r="I17" s="284"/>
      <c r="J17" s="183"/>
      <c r="K17" s="183"/>
      <c r="L17" s="183"/>
      <c r="M17" s="53"/>
      <c r="N17" s="149">
        <f>IF(H16="Voldoet niet",0,1)</f>
        <v>1</v>
      </c>
      <c r="O17" s="6"/>
    </row>
    <row r="18" spans="1:22" ht="18" customHeight="1">
      <c r="A18" s="185"/>
      <c r="B18" s="183"/>
      <c r="C18" s="183" t="s">
        <v>119</v>
      </c>
      <c r="D18" s="176"/>
      <c r="E18" s="200" t="s">
        <v>29</v>
      </c>
      <c r="F18" s="45">
        <f>B6/B7</f>
        <v>20</v>
      </c>
      <c r="G18" s="183" t="s">
        <v>149</v>
      </c>
      <c r="H18" s="284" t="str">
        <f>IF(F18&lt;=50,"Voldoet","Voldoet niet")</f>
        <v>Voldoet</v>
      </c>
      <c r="I18" s="284"/>
      <c r="J18" s="183"/>
      <c r="K18" s="183"/>
      <c r="L18" s="183"/>
      <c r="M18" s="53"/>
      <c r="N18" s="149">
        <f>IF(H17="Voldoet niet",0,1)</f>
        <v>1</v>
      </c>
      <c r="O18" s="6"/>
      <c r="T18" s="2"/>
      <c r="U18" s="2"/>
      <c r="V18" s="2"/>
    </row>
    <row r="19" spans="1:22" ht="18" customHeight="1">
      <c r="A19" s="185"/>
      <c r="B19" s="183"/>
      <c r="C19" s="176"/>
      <c r="D19" s="176"/>
      <c r="E19" s="200" t="s">
        <v>113</v>
      </c>
      <c r="F19" s="45">
        <f>B6/B5</f>
        <v>0.4</v>
      </c>
      <c r="G19" s="183" t="s">
        <v>153</v>
      </c>
      <c r="H19" s="285" t="str">
        <f>IF(F20&lt;=0.6,IF(F19&gt;=0.2,"De lip mag worden meegenomen in de berekening","Lipafmetingen te klein. Bereken C-profiel als U-profiel met dezelfde b als C-profiel"),"Lipafmetingen te groot. Geen verdere berekening ")</f>
        <v>De lip mag worden meegenomen in de berekening</v>
      </c>
      <c r="I19" s="285"/>
      <c r="J19" s="285"/>
      <c r="K19" s="285"/>
      <c r="L19" s="285"/>
      <c r="M19" s="286"/>
      <c r="N19" s="149">
        <f>IF(H19="De Lip mag worden meegenomen in de berekening",1,0)</f>
        <v>1</v>
      </c>
      <c r="P19" s="34"/>
      <c r="Q19" s="34"/>
      <c r="R19" s="34"/>
      <c r="S19" s="34"/>
      <c r="T19" s="34"/>
      <c r="U19" s="2"/>
      <c r="V19" s="2"/>
    </row>
    <row r="20" spans="1:22" ht="18" customHeight="1">
      <c r="A20" s="282"/>
      <c r="B20" s="283"/>
      <c r="C20" s="8"/>
      <c r="D20" s="176"/>
      <c r="E20" s="200" t="s">
        <v>113</v>
      </c>
      <c r="F20" s="45">
        <f>F19</f>
        <v>0.4</v>
      </c>
      <c r="G20" s="183" t="s">
        <v>57</v>
      </c>
      <c r="H20" s="285"/>
      <c r="I20" s="285"/>
      <c r="J20" s="285"/>
      <c r="K20" s="285"/>
      <c r="L20" s="285"/>
      <c r="M20" s="286"/>
      <c r="N20" s="81"/>
      <c r="O20" s="6"/>
    </row>
    <row r="21" spans="1:22" ht="18" customHeight="1">
      <c r="A21" s="14"/>
      <c r="B21" s="6"/>
      <c r="C21" s="142"/>
      <c r="D21" s="169" t="s">
        <v>120</v>
      </c>
      <c r="E21" s="49" t="s">
        <v>1</v>
      </c>
      <c r="F21" s="184" t="s">
        <v>35</v>
      </c>
      <c r="G21" s="201" t="s">
        <v>169</v>
      </c>
      <c r="H21" s="82"/>
      <c r="I21" s="6"/>
      <c r="J21" s="82"/>
      <c r="K21" s="82"/>
      <c r="L21" s="82"/>
      <c r="M21" s="150"/>
      <c r="N21" s="81"/>
      <c r="O21" s="5"/>
    </row>
    <row r="22" spans="1:22" ht="18" customHeight="1">
      <c r="A22" s="14"/>
      <c r="B22" s="176"/>
      <c r="C22" s="176"/>
      <c r="D22" s="176"/>
      <c r="E22" s="6">
        <f>B8</f>
        <v>-0.5</v>
      </c>
      <c r="F22" s="184" t="s">
        <v>35</v>
      </c>
      <c r="G22" s="108">
        <f>0.04*B7*H4/H6</f>
        <v>24</v>
      </c>
      <c r="H22" s="293" t="str">
        <f>IF(E22&gt;G22,"Voldoet niet","Voldoet")</f>
        <v>Voldoet</v>
      </c>
      <c r="I22" s="293"/>
      <c r="J22" s="289"/>
      <c r="K22" s="289"/>
      <c r="L22" s="289"/>
      <c r="M22" s="290"/>
      <c r="N22" s="81"/>
      <c r="O22" s="5"/>
      <c r="T22" s="2"/>
      <c r="U22" s="2"/>
      <c r="V22" s="2"/>
    </row>
    <row r="23" spans="1:22">
      <c r="A23" s="1"/>
      <c r="B23" s="176"/>
      <c r="C23" s="176"/>
      <c r="D23" s="176"/>
      <c r="E23" s="176"/>
      <c r="F23" s="176"/>
      <c r="G23" s="176"/>
      <c r="H23" s="176"/>
      <c r="I23" s="287"/>
      <c r="J23" s="287"/>
      <c r="K23" s="287"/>
      <c r="L23" s="287"/>
      <c r="M23" s="288"/>
      <c r="N23" s="149">
        <f>IF(H22="Voldoet niet",0,1)</f>
        <v>1</v>
      </c>
      <c r="O23" s="5"/>
      <c r="T23" s="2"/>
      <c r="U23" s="2"/>
      <c r="V23" s="2"/>
    </row>
    <row r="24" spans="1:22">
      <c r="A24" s="1"/>
      <c r="B24" s="176"/>
      <c r="C24" s="176"/>
      <c r="D24" s="176"/>
      <c r="E24" s="176"/>
      <c r="F24" s="176"/>
      <c r="G24" s="6"/>
      <c r="H24" s="176"/>
      <c r="I24" s="287"/>
      <c r="J24" s="287"/>
      <c r="K24" s="287"/>
      <c r="L24" s="287"/>
      <c r="M24" s="288"/>
      <c r="N24" s="81"/>
      <c r="O24" s="5"/>
    </row>
    <row r="25" spans="1:22">
      <c r="A25" s="1"/>
      <c r="B25" s="176"/>
      <c r="C25" s="176"/>
      <c r="D25" s="176"/>
      <c r="E25" s="6"/>
      <c r="F25" s="24"/>
      <c r="G25" s="6"/>
      <c r="H25" s="82"/>
      <c r="I25" s="287"/>
      <c r="J25" s="287"/>
      <c r="K25" s="287"/>
      <c r="L25" s="287"/>
      <c r="M25" s="288"/>
      <c r="N25" s="81"/>
      <c r="O25" s="5"/>
    </row>
    <row r="26" spans="1:22">
      <c r="A26" s="14"/>
      <c r="B26" s="24"/>
      <c r="C26" s="176"/>
      <c r="D26" s="176"/>
      <c r="E26" s="176"/>
      <c r="F26" s="176"/>
      <c r="G26" s="176"/>
      <c r="H26" s="176"/>
      <c r="I26" s="287"/>
      <c r="J26" s="287"/>
      <c r="K26" s="287"/>
      <c r="L26" s="287"/>
      <c r="M26" s="288"/>
      <c r="N26" s="81"/>
      <c r="O26" s="32"/>
    </row>
    <row r="27" spans="1:22">
      <c r="A27" s="1"/>
      <c r="B27" s="176"/>
      <c r="C27" s="176"/>
      <c r="D27" s="176"/>
      <c r="E27" s="176"/>
      <c r="F27" s="176"/>
      <c r="G27" s="176"/>
      <c r="H27" s="176"/>
      <c r="I27" s="287"/>
      <c r="J27" s="287"/>
      <c r="K27" s="287"/>
      <c r="L27" s="287"/>
      <c r="M27" s="288"/>
      <c r="N27" s="81"/>
      <c r="O27" s="5"/>
    </row>
    <row r="28" spans="1:22">
      <c r="A28" s="1"/>
      <c r="B28" s="176"/>
      <c r="C28" s="176"/>
      <c r="D28" s="176"/>
      <c r="E28" s="176"/>
      <c r="F28" s="176"/>
      <c r="G28" s="6"/>
      <c r="H28" s="82"/>
      <c r="I28" s="287"/>
      <c r="J28" s="287"/>
      <c r="K28" s="287"/>
      <c r="L28" s="287"/>
      <c r="M28" s="288"/>
      <c r="N28" s="81"/>
      <c r="O28" s="5"/>
    </row>
    <row r="29" spans="1:22">
      <c r="A29" s="1"/>
      <c r="B29" s="176"/>
      <c r="C29" s="176"/>
      <c r="D29" s="176"/>
      <c r="E29" s="176"/>
      <c r="F29" s="176"/>
      <c r="G29" s="6"/>
      <c r="H29" s="82"/>
      <c r="I29" s="287"/>
      <c r="J29" s="287"/>
      <c r="K29" s="287"/>
      <c r="L29" s="287"/>
      <c r="M29" s="288"/>
      <c r="N29" s="81"/>
      <c r="O29" s="5"/>
    </row>
    <row r="30" spans="1:22">
      <c r="A30" s="1"/>
      <c r="B30" s="176"/>
      <c r="C30" s="176"/>
      <c r="D30" s="176"/>
      <c r="E30" s="176"/>
      <c r="F30" s="176"/>
      <c r="G30" s="6"/>
      <c r="H30" s="82"/>
      <c r="I30" s="287"/>
      <c r="J30" s="287"/>
      <c r="K30" s="287"/>
      <c r="L30" s="287"/>
      <c r="M30" s="288"/>
      <c r="N30" s="81"/>
      <c r="O30" s="5"/>
    </row>
    <row r="31" spans="1:22">
      <c r="A31" s="1"/>
      <c r="B31" s="176"/>
      <c r="C31" s="176"/>
      <c r="D31" s="6"/>
      <c r="E31" s="6"/>
      <c r="F31" s="10"/>
      <c r="G31" s="6"/>
      <c r="H31" s="82"/>
      <c r="I31" s="287"/>
      <c r="J31" s="287"/>
      <c r="K31" s="287"/>
      <c r="L31" s="287"/>
      <c r="M31" s="288"/>
      <c r="N31" s="81"/>
      <c r="O31" s="5"/>
    </row>
    <row r="32" spans="1:22">
      <c r="A32" s="1"/>
      <c r="B32" s="176"/>
      <c r="C32" s="176"/>
      <c r="D32" s="6"/>
      <c r="E32" s="6"/>
      <c r="F32" s="10"/>
      <c r="G32" s="6"/>
      <c r="H32" s="82"/>
      <c r="I32" s="287"/>
      <c r="J32" s="287"/>
      <c r="K32" s="287"/>
      <c r="L32" s="287"/>
      <c r="M32" s="288"/>
      <c r="N32" s="81"/>
      <c r="O32" s="5"/>
    </row>
    <row r="33" spans="1:15" ht="14.25" customHeight="1">
      <c r="A33" s="1"/>
      <c r="B33" s="176"/>
      <c r="C33" s="176"/>
      <c r="D33" s="6"/>
      <c r="E33" s="6"/>
      <c r="F33" s="10"/>
      <c r="G33" s="6"/>
      <c r="H33" s="82"/>
      <c r="I33" s="179"/>
      <c r="J33" s="179"/>
      <c r="K33" s="179"/>
      <c r="L33" s="179"/>
      <c r="M33" s="180"/>
      <c r="N33" s="81"/>
      <c r="O33" s="5"/>
    </row>
    <row r="34" spans="1:15" ht="15" customHeight="1">
      <c r="A34" s="1"/>
      <c r="B34" s="176"/>
      <c r="C34" s="176"/>
      <c r="D34" s="6"/>
      <c r="E34" s="6"/>
      <c r="F34" s="10"/>
      <c r="G34" s="6"/>
      <c r="H34" s="82"/>
      <c r="I34" s="179"/>
      <c r="J34" s="179"/>
      <c r="K34" s="179"/>
      <c r="L34" s="179"/>
      <c r="M34" s="180"/>
      <c r="N34" s="81"/>
      <c r="O34" s="5"/>
    </row>
    <row r="35" spans="1:15" ht="18" customHeight="1">
      <c r="A35" s="1"/>
      <c r="B35" s="176"/>
      <c r="C35" s="176"/>
      <c r="D35" s="6"/>
      <c r="E35" s="6"/>
      <c r="F35" s="10"/>
      <c r="G35" s="6"/>
      <c r="H35" s="82"/>
      <c r="I35" s="179"/>
      <c r="J35" s="179"/>
      <c r="K35" s="179"/>
      <c r="L35" s="179"/>
      <c r="M35" s="180"/>
      <c r="N35" s="81"/>
      <c r="O35" s="5"/>
    </row>
    <row r="36" spans="1:15" ht="13.5" customHeight="1" thickBot="1">
      <c r="A36" s="84"/>
      <c r="B36" s="3"/>
      <c r="C36" s="3"/>
      <c r="D36" s="17"/>
      <c r="E36" s="17"/>
      <c r="F36" s="18"/>
      <c r="G36" s="17"/>
      <c r="H36" s="151"/>
      <c r="I36" s="181"/>
      <c r="J36" s="181"/>
      <c r="K36" s="181"/>
      <c r="L36" s="181"/>
      <c r="M36" s="182"/>
      <c r="N36" s="81"/>
      <c r="O36" s="5"/>
    </row>
    <row r="37" spans="1:15" ht="18" customHeight="1" thickBot="1">
      <c r="D37" s="6"/>
      <c r="E37" s="6"/>
      <c r="F37" s="10"/>
      <c r="G37" s="6"/>
      <c r="H37" s="6"/>
      <c r="I37" s="6"/>
      <c r="J37" s="6"/>
      <c r="K37" s="8"/>
      <c r="L37" s="8"/>
      <c r="M37" s="5"/>
      <c r="N37" s="81"/>
      <c r="O37" s="5"/>
    </row>
    <row r="38" spans="1:15" ht="18" customHeight="1">
      <c r="A38" s="19" t="s">
        <v>197</v>
      </c>
      <c r="B38" s="12"/>
      <c r="C38" s="12"/>
      <c r="D38" s="12"/>
      <c r="E38" s="12"/>
      <c r="F38" s="13"/>
      <c r="G38" s="12"/>
      <c r="H38" s="12"/>
      <c r="I38" s="12"/>
      <c r="J38" s="12"/>
      <c r="K38" s="37"/>
      <c r="L38" s="37"/>
      <c r="M38" s="72"/>
      <c r="N38" s="279" t="s">
        <v>196</v>
      </c>
      <c r="O38" s="5"/>
    </row>
    <row r="39" spans="1:15" ht="18.75">
      <c r="A39" s="196" t="s">
        <v>273</v>
      </c>
      <c r="B39" s="23">
        <f>Profieleigenschappen!E37</f>
        <v>18.271186440677965</v>
      </c>
      <c r="C39" s="155" t="s">
        <v>3</v>
      </c>
      <c r="D39" s="6"/>
      <c r="E39" s="197"/>
      <c r="F39" s="23"/>
      <c r="G39" s="155"/>
      <c r="H39" s="287"/>
      <c r="I39" s="287"/>
      <c r="J39" s="287"/>
      <c r="K39" s="287"/>
      <c r="L39" s="287"/>
      <c r="M39" s="288"/>
      <c r="N39" s="280"/>
      <c r="O39" s="5"/>
    </row>
    <row r="40" spans="1:15" ht="13.5" customHeight="1">
      <c r="A40" s="196"/>
      <c r="B40" s="23"/>
      <c r="C40" s="155"/>
      <c r="D40" s="6"/>
      <c r="E40" s="199"/>
      <c r="F40" s="142"/>
      <c r="G40" s="156"/>
      <c r="H40" s="287"/>
      <c r="I40" s="287"/>
      <c r="J40" s="287"/>
      <c r="K40" s="287"/>
      <c r="L40" s="287"/>
      <c r="M40" s="288"/>
      <c r="N40" s="280"/>
      <c r="O40" s="5"/>
    </row>
    <row r="41" spans="1:15" ht="18" customHeight="1">
      <c r="A41" s="202" t="s">
        <v>74</v>
      </c>
      <c r="B41" s="152">
        <f>Berekening!H73</f>
        <v>18.271186440677965</v>
      </c>
      <c r="C41" s="156" t="s">
        <v>3</v>
      </c>
      <c r="D41" s="6"/>
      <c r="E41" s="197" t="s">
        <v>172</v>
      </c>
      <c r="F41" s="23">
        <f>Berekening!H82</f>
        <v>12.291525423728814</v>
      </c>
      <c r="G41" s="155" t="s">
        <v>3</v>
      </c>
      <c r="H41" s="287"/>
      <c r="I41" s="287"/>
      <c r="J41" s="287"/>
      <c r="K41" s="287"/>
      <c r="L41" s="287"/>
      <c r="M41" s="288"/>
      <c r="N41" s="280"/>
      <c r="O41" s="5"/>
    </row>
    <row r="42" spans="1:15" ht="18" customHeight="1">
      <c r="A42" s="202" t="s">
        <v>75</v>
      </c>
      <c r="B42" s="152">
        <f>Berekening!H75</f>
        <v>30.728813559322035</v>
      </c>
      <c r="C42" s="156" t="s">
        <v>3</v>
      </c>
      <c r="D42" s="6"/>
      <c r="E42" s="197" t="s">
        <v>173</v>
      </c>
      <c r="F42" s="23">
        <f>Berekening!H83</f>
        <v>18.437288135593221</v>
      </c>
      <c r="G42" s="155" t="s">
        <v>3</v>
      </c>
      <c r="H42" s="287"/>
      <c r="I42" s="287"/>
      <c r="J42" s="287"/>
      <c r="K42" s="287"/>
      <c r="L42" s="287"/>
      <c r="M42" s="288"/>
      <c r="N42" s="280"/>
      <c r="O42" s="5"/>
    </row>
    <row r="43" spans="1:15" ht="18" customHeight="1">
      <c r="A43" s="202" t="s">
        <v>118</v>
      </c>
      <c r="B43" s="153">
        <f>Berekening!H63</f>
        <v>-0.59459459459459452</v>
      </c>
      <c r="C43" s="155" t="s">
        <v>3</v>
      </c>
      <c r="D43" s="6"/>
      <c r="E43" s="197" t="s">
        <v>154</v>
      </c>
      <c r="F43" s="23">
        <f>Berekening!H74</f>
        <v>18.271186440677965</v>
      </c>
      <c r="G43" s="155" t="s">
        <v>3</v>
      </c>
      <c r="H43" s="287"/>
      <c r="I43" s="287"/>
      <c r="J43" s="287"/>
      <c r="K43" s="287"/>
      <c r="L43" s="287"/>
      <c r="M43" s="288"/>
      <c r="N43" s="280"/>
      <c r="O43" s="5"/>
    </row>
    <row r="44" spans="1:15" ht="18" customHeight="1">
      <c r="A44" s="202"/>
      <c r="B44" s="142"/>
      <c r="C44" s="156"/>
      <c r="D44" s="6"/>
      <c r="E44" s="205"/>
      <c r="F44" s="141"/>
      <c r="G44" s="141"/>
      <c r="H44" s="287"/>
      <c r="I44" s="287"/>
      <c r="J44" s="287"/>
      <c r="K44" s="287"/>
      <c r="L44" s="287"/>
      <c r="M44" s="288"/>
      <c r="N44" s="280"/>
      <c r="O44" s="5"/>
    </row>
    <row r="45" spans="1:15" ht="16.5" customHeight="1">
      <c r="A45" s="203" t="s">
        <v>123</v>
      </c>
      <c r="B45" s="23">
        <f>Berekening!H114</f>
        <v>15.46845220988882</v>
      </c>
      <c r="C45" s="155" t="s">
        <v>3</v>
      </c>
      <c r="D45" s="6"/>
      <c r="E45" s="197" t="s">
        <v>174</v>
      </c>
      <c r="F45" s="23">
        <f>Berekening!H95</f>
        <v>14.98627051197246</v>
      </c>
      <c r="G45" s="155" t="s">
        <v>3</v>
      </c>
      <c r="H45" s="287"/>
      <c r="I45" s="287"/>
      <c r="J45" s="287"/>
      <c r="K45" s="287"/>
      <c r="L45" s="287"/>
      <c r="M45" s="288"/>
      <c r="N45" s="280"/>
      <c r="O45" s="5"/>
    </row>
    <row r="46" spans="1:15" ht="18.75">
      <c r="A46" s="196" t="s">
        <v>171</v>
      </c>
      <c r="B46" s="174">
        <f>Berekening!H119</f>
        <v>73779.146292572957</v>
      </c>
      <c r="C46" s="155" t="s">
        <v>18</v>
      </c>
      <c r="D46" s="6"/>
      <c r="E46" s="199"/>
      <c r="F46" s="142"/>
      <c r="G46" s="156"/>
      <c r="H46" s="287"/>
      <c r="I46" s="287"/>
      <c r="J46" s="287"/>
      <c r="K46" s="287"/>
      <c r="L46" s="287"/>
      <c r="M46" s="288"/>
      <c r="N46" s="280"/>
      <c r="O46" s="5"/>
    </row>
    <row r="47" spans="1:15" ht="17.25" customHeight="1">
      <c r="A47" s="202" t="s">
        <v>87</v>
      </c>
      <c r="B47" s="175">
        <f>Berekening!H120</f>
        <v>2167.9632894631836</v>
      </c>
      <c r="C47" s="155" t="s">
        <v>89</v>
      </c>
      <c r="D47" s="6"/>
      <c r="E47" s="204" t="s">
        <v>122</v>
      </c>
      <c r="F47" s="145">
        <f>Berekening!H109</f>
        <v>0.78624149362385476</v>
      </c>
      <c r="G47" s="155" t="s">
        <v>3</v>
      </c>
      <c r="H47" s="287"/>
      <c r="I47" s="287"/>
      <c r="J47" s="287"/>
      <c r="K47" s="287"/>
      <c r="L47" s="287"/>
      <c r="M47" s="288"/>
      <c r="N47" s="281"/>
      <c r="O47" s="5"/>
    </row>
    <row r="48" spans="1:15" ht="19.5" customHeight="1">
      <c r="A48" s="202" t="s">
        <v>88</v>
      </c>
      <c r="B48" s="175">
        <f>Berekening!H121</f>
        <v>4620.3066723576112</v>
      </c>
      <c r="C48" s="155" t="s">
        <v>89</v>
      </c>
      <c r="D48" s="6"/>
      <c r="E48" s="142"/>
      <c r="F48" s="142"/>
      <c r="G48" s="142"/>
      <c r="H48" s="287"/>
      <c r="I48" s="287"/>
      <c r="J48" s="287"/>
      <c r="K48" s="287"/>
      <c r="L48" s="287"/>
      <c r="M48" s="288"/>
      <c r="N48" s="5"/>
      <c r="O48" s="5"/>
    </row>
    <row r="49" spans="1:15">
      <c r="A49" s="170"/>
      <c r="B49" s="142"/>
      <c r="C49" s="142"/>
      <c r="D49" s="6"/>
      <c r="E49" s="6"/>
      <c r="F49" s="6"/>
      <c r="G49" s="6"/>
      <c r="H49" s="287"/>
      <c r="I49" s="287"/>
      <c r="J49" s="287"/>
      <c r="K49" s="287"/>
      <c r="L49" s="287"/>
      <c r="M49" s="288"/>
      <c r="N49" s="5"/>
      <c r="O49" s="5"/>
    </row>
    <row r="50" spans="1:15" ht="15" customHeight="1">
      <c r="A50" s="274" t="str">
        <f>A12</f>
        <v>Profiel fysisch mogelijk</v>
      </c>
      <c r="B50" s="275"/>
      <c r="C50" s="275"/>
      <c r="D50" s="6"/>
      <c r="E50" s="142"/>
      <c r="F50" s="142"/>
      <c r="G50" s="142"/>
      <c r="H50" s="287"/>
      <c r="I50" s="287"/>
      <c r="J50" s="287"/>
      <c r="K50" s="287"/>
      <c r="L50" s="287"/>
      <c r="M50" s="288"/>
      <c r="N50" s="5"/>
      <c r="O50" s="5"/>
    </row>
    <row r="51" spans="1:15" ht="18" customHeight="1">
      <c r="A51" s="170"/>
      <c r="B51" s="91"/>
      <c r="C51" s="91"/>
      <c r="D51" s="6"/>
      <c r="E51" s="142"/>
      <c r="F51" s="142"/>
      <c r="G51" s="142"/>
      <c r="H51" s="287"/>
      <c r="I51" s="287"/>
      <c r="J51" s="287"/>
      <c r="K51" s="287"/>
      <c r="L51" s="287"/>
      <c r="M51" s="288"/>
      <c r="N51" s="5"/>
      <c r="O51" s="32"/>
    </row>
    <row r="52" spans="1:15" ht="13.5" customHeight="1" thickBot="1">
      <c r="A52" s="270" t="str">
        <f>IF(SUM(N15:N19)+N23=6,"Output geldig","Output niet geldig")</f>
        <v>Output geldig</v>
      </c>
      <c r="B52" s="271"/>
      <c r="C52" s="271"/>
      <c r="D52" s="17"/>
      <c r="E52" s="17"/>
      <c r="F52" s="17"/>
      <c r="G52" s="171"/>
      <c r="H52" s="291"/>
      <c r="I52" s="291"/>
      <c r="J52" s="291"/>
      <c r="K52" s="291"/>
      <c r="L52" s="291"/>
      <c r="M52" s="292"/>
      <c r="N52" s="5"/>
      <c r="O52" s="5"/>
    </row>
    <row r="53" spans="1:15" ht="18" customHeight="1">
      <c r="A53" s="2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5"/>
      <c r="N53" s="5"/>
      <c r="O53" s="5"/>
    </row>
    <row r="54" spans="1:15" ht="18" customHeight="1">
      <c r="A54" s="114"/>
      <c r="B54" s="114"/>
      <c r="C54" s="114"/>
      <c r="D54" s="6"/>
      <c r="E54" s="6"/>
      <c r="F54" s="6"/>
      <c r="G54" s="6"/>
      <c r="H54" s="82"/>
      <c r="I54" s="82"/>
      <c r="J54" s="82"/>
      <c r="K54" s="82"/>
      <c r="L54" s="82"/>
      <c r="M54" s="82"/>
      <c r="N54" s="8"/>
    </row>
    <row r="55" spans="1:15" ht="18" customHeight="1">
      <c r="A55" s="2"/>
      <c r="B55" s="91"/>
      <c r="C55" s="91"/>
      <c r="D55" s="6"/>
      <c r="E55" s="6"/>
      <c r="F55" s="6"/>
      <c r="G55" s="6"/>
      <c r="H55" s="82"/>
      <c r="I55" s="82"/>
      <c r="J55" s="82"/>
      <c r="K55" s="82"/>
      <c r="L55" s="82"/>
      <c r="M55" s="82"/>
      <c r="N55" s="8"/>
    </row>
    <row r="56" spans="1:15" ht="13.5" customHeight="1">
      <c r="A56" s="91"/>
      <c r="B56" s="91"/>
      <c r="C56" s="91"/>
      <c r="D56" s="6"/>
      <c r="E56" s="6"/>
      <c r="F56" s="6"/>
      <c r="G56" s="6"/>
      <c r="H56" s="82"/>
      <c r="I56" s="82"/>
      <c r="J56" s="82"/>
      <c r="K56" s="82"/>
      <c r="L56" s="82"/>
      <c r="M56" s="82"/>
      <c r="N56" s="8"/>
    </row>
    <row r="57" spans="1:15" ht="18" customHeight="1">
      <c r="A57" s="9"/>
      <c r="B57" s="8"/>
      <c r="C57" s="8"/>
      <c r="D57" s="8"/>
      <c r="E57" s="8"/>
      <c r="F57" s="8"/>
      <c r="G57" s="8"/>
      <c r="H57" s="82"/>
      <c r="I57" s="82"/>
      <c r="J57" s="82"/>
      <c r="K57" s="82"/>
      <c r="L57" s="82"/>
      <c r="M57" s="82"/>
      <c r="N57" s="8"/>
    </row>
    <row r="58" spans="1:15" ht="18" customHeight="1"/>
    <row r="59" spans="1:15" ht="17.25" customHeight="1"/>
    <row r="60" spans="1:15" ht="18" customHeight="1"/>
    <row r="61" spans="1:15" ht="13.5" customHeight="1"/>
    <row r="63" spans="1:15" ht="13.5" customHeight="1"/>
    <row r="64" spans="1:15" ht="15" customHeight="1"/>
  </sheetData>
  <mergeCells count="16">
    <mergeCell ref="H15:I15"/>
    <mergeCell ref="A52:C52"/>
    <mergeCell ref="A12:C12"/>
    <mergeCell ref="A50:C50"/>
    <mergeCell ref="N3:N13"/>
    <mergeCell ref="N38:N47"/>
    <mergeCell ref="A16:B16"/>
    <mergeCell ref="A20:B20"/>
    <mergeCell ref="H17:I17"/>
    <mergeCell ref="H16:I16"/>
    <mergeCell ref="H18:I18"/>
    <mergeCell ref="H19:M20"/>
    <mergeCell ref="I23:M32"/>
    <mergeCell ref="J22:M22"/>
    <mergeCell ref="H39:M52"/>
    <mergeCell ref="H22:I22"/>
  </mergeCells>
  <phoneticPr fontId="35" type="noConversion"/>
  <conditionalFormatting sqref="A54:C54 A50:C50">
    <cfRule type="cellIs" dxfId="34" priority="18" stopIfTrue="1" operator="equal">
      <formula>"Profiel fysisch niet mogelijk"</formula>
    </cfRule>
    <cfRule type="cellIs" dxfId="33" priority="21" stopIfTrue="1" operator="equal">
      <formula>"Profiel fysisch mogelijk"</formula>
    </cfRule>
  </conditionalFormatting>
  <conditionalFormatting sqref="A56:C56 A52:C52">
    <cfRule type="cellIs" dxfId="32" priority="19" stopIfTrue="1" operator="equal">
      <formula>"Output niet geldig"</formula>
    </cfRule>
    <cfRule type="cellIs" dxfId="31" priority="20" stopIfTrue="1" operator="equal">
      <formula>"Output geldig"</formula>
    </cfRule>
  </conditionalFormatting>
  <conditionalFormatting sqref="L14">
    <cfRule type="cellIs" dxfId="30" priority="50" operator="equal">
      <formula>"Voldoet niet"</formula>
    </cfRule>
    <cfRule type="cellIs" dxfId="29" priority="51" operator="equal">
      <formula>"Voldoet niet"</formula>
    </cfRule>
    <cfRule type="cellIs" dxfId="28" priority="52" operator="equal">
      <formula>"Voldoet"</formula>
    </cfRule>
  </conditionalFormatting>
  <conditionalFormatting sqref="H22 H15:I18">
    <cfRule type="cellIs" dxfId="27" priority="39" operator="equal">
      <formula>"Voldoet"</formula>
    </cfRule>
  </conditionalFormatting>
  <conditionalFormatting sqref="A10">
    <cfRule type="cellIs" dxfId="26" priority="23" operator="equal">
      <formula>"Invloed afrondingsstralen mag worden genegeerd"</formula>
    </cfRule>
  </conditionalFormatting>
  <conditionalFormatting sqref="H15:I18">
    <cfRule type="cellIs" dxfId="25" priority="16" stopIfTrue="1" operator="equal">
      <formula>"Voldoet niet"</formula>
    </cfRule>
  </conditionalFormatting>
  <conditionalFormatting sqref="H19">
    <cfRule type="cellIs" dxfId="24" priority="14" stopIfTrue="1" operator="equal">
      <formula>"Lip moet niet meegenomen worden in berekening"</formula>
    </cfRule>
    <cfRule type="cellIs" dxfId="23" priority="15" stopIfTrue="1" operator="equal">
      <formula>"Lip moet mee genomen worden in berekening"</formula>
    </cfRule>
  </conditionalFormatting>
  <conditionalFormatting sqref="A12:C12">
    <cfRule type="containsText" dxfId="22" priority="12" stopIfTrue="1" operator="containsText" text="Profiel fysisch niet mogelijk">
      <formula>NOT(ISERROR(SEARCH("Profiel fysisch niet mogelijk",A12)))</formula>
    </cfRule>
    <cfRule type="containsText" dxfId="21" priority="13" stopIfTrue="1" operator="containsText" text="Profiel fysisch mogelijk">
      <formula>NOT(ISERROR(SEARCH("Profiel fysisch mogelijk",A12)))</formula>
    </cfRule>
  </conditionalFormatting>
  <conditionalFormatting sqref="H19:M20">
    <cfRule type="containsText" dxfId="20" priority="2" stopIfTrue="1" operator="containsText" text="te">
      <formula>NOT(ISERROR(SEARCH("te",H19)))</formula>
    </cfRule>
    <cfRule type="containsText" dxfId="19" priority="3" stopIfTrue="1" operator="containsText" text="De lip mag worden meegenomen in de berekening">
      <formula>NOT(ISERROR(SEARCH("De lip mag worden meegenomen in de berekening",H19)))</formula>
    </cfRule>
  </conditionalFormatting>
  <conditionalFormatting sqref="H22:I22">
    <cfRule type="containsText" dxfId="18" priority="1" stopIfTrue="1" operator="containsText" text="niet">
      <formula>NOT(ISERROR(SEARCH("niet",H22)))</formula>
    </cfRule>
  </conditionalFormatting>
  <pageMargins left="0.70866141732283472" right="0.70866141732283472" top="0.55118110236220474" bottom="0.55118110236220474" header="0.31496062992125984" footer="0.31496062992125984"/>
  <pageSetup paperSize="9" scale="72" orientation="portrait" r:id="rId1"/>
  <rowBreaks count="1" manualBreakCount="1">
    <brk id="36" max="13" man="1"/>
  </rowBreaks>
  <drawing r:id="rId2"/>
  <legacyDrawing r:id="rId3"/>
  <oleObjects>
    <oleObject progId="Word.Document.12" shapeId="1025" r:id="rId4"/>
    <oleObject progId="Word.Document.12" shapeId="1026" r:id="rId5"/>
  </oleObject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62"/>
  <sheetViews>
    <sheetView topLeftCell="A13" zoomScaleNormal="100" workbookViewId="0">
      <selection activeCell="F51" sqref="F51"/>
    </sheetView>
  </sheetViews>
  <sheetFormatPr defaultRowHeight="15"/>
  <cols>
    <col min="2" max="2" width="12.85546875" customWidth="1"/>
    <col min="3" max="3" width="8.7109375" customWidth="1"/>
    <col min="4" max="4" width="7.85546875" customWidth="1"/>
    <col min="5" max="5" width="12.85546875" customWidth="1"/>
    <col min="6" max="6" width="12.140625" customWidth="1"/>
    <col min="7" max="7" width="8.7109375" customWidth="1"/>
    <col min="8" max="8" width="12.28515625" customWidth="1"/>
    <col min="9" max="9" width="17.28515625" customWidth="1"/>
    <col min="10" max="10" width="14" customWidth="1"/>
    <col min="11" max="11" width="11.42578125" customWidth="1"/>
    <col min="12" max="12" width="20.85546875" customWidth="1"/>
    <col min="13" max="13" width="10.28515625" customWidth="1"/>
    <col min="14" max="14" width="10.7109375" customWidth="1"/>
    <col min="16" max="16" width="16.7109375" bestFit="1" customWidth="1"/>
    <col min="17" max="17" width="11.42578125" customWidth="1"/>
    <col min="18" max="18" width="12" bestFit="1" customWidth="1"/>
    <col min="19" max="19" width="8.7109375" bestFit="1" customWidth="1"/>
    <col min="20" max="20" width="12.140625" bestFit="1" customWidth="1"/>
    <col min="21" max="21" width="9.85546875" bestFit="1" customWidth="1"/>
    <col min="22" max="22" width="10.5703125" customWidth="1"/>
    <col min="23" max="23" width="9.85546875" bestFit="1" customWidth="1"/>
  </cols>
  <sheetData>
    <row r="1" spans="1:17" ht="30" customHeight="1">
      <c r="A1" s="190" t="s">
        <v>157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17" ht="14.25" customHeight="1" thickBo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pans="1:17" ht="18.75" customHeight="1" thickBot="1">
      <c r="A3" s="294" t="s">
        <v>12</v>
      </c>
      <c r="B3" s="295"/>
      <c r="C3" s="295"/>
      <c r="D3" s="296"/>
      <c r="F3" s="38" t="s">
        <v>7</v>
      </c>
      <c r="G3" s="39"/>
      <c r="H3" s="40"/>
      <c r="I3" s="5"/>
      <c r="J3" s="5"/>
      <c r="K3" s="5"/>
      <c r="L3" s="5"/>
      <c r="M3" s="5"/>
      <c r="N3" s="5"/>
      <c r="O3" s="5"/>
      <c r="P3" s="5"/>
      <c r="Q3" s="5"/>
    </row>
    <row r="4" spans="1:17" ht="18.75" customHeight="1">
      <c r="A4" s="206" t="s">
        <v>13</v>
      </c>
      <c r="B4" s="58">
        <f>'Input &amp; output'!H4</f>
        <v>210000</v>
      </c>
      <c r="C4" s="12" t="s">
        <v>15</v>
      </c>
      <c r="D4" s="22"/>
      <c r="F4" s="206" t="s">
        <v>4</v>
      </c>
      <c r="G4" s="58">
        <f>'Input &amp; output'!B4</f>
        <v>100</v>
      </c>
      <c r="H4" s="22" t="s">
        <v>3</v>
      </c>
      <c r="I4" s="109">
        <f>IF(G4&gt;=(2*G7),1,0)</f>
        <v>1</v>
      </c>
      <c r="J4" s="297" t="str">
        <f>IF(G4&gt;=(2*G7),"Hoogte is ten minste gelijk aan 2x de dikte","Hoogte is kleiner dan 2x de dikte")</f>
        <v>Hoogte is ten minste gelijk aan 2x de dikte</v>
      </c>
      <c r="K4" s="297"/>
      <c r="L4" s="297"/>
      <c r="M4" s="5"/>
      <c r="N4" s="5"/>
      <c r="O4" s="5"/>
      <c r="P4" s="5"/>
      <c r="Q4" s="5"/>
    </row>
    <row r="5" spans="1:17" ht="18.75" customHeight="1">
      <c r="A5" s="196" t="s">
        <v>14</v>
      </c>
      <c r="B5" s="59">
        <f>B4/(2*(1+B6))</f>
        <v>80769.230769230766</v>
      </c>
      <c r="C5" s="6" t="s">
        <v>15</v>
      </c>
      <c r="D5" s="15"/>
      <c r="F5" s="196" t="s">
        <v>5</v>
      </c>
      <c r="G5" s="60">
        <f>'Input &amp; output'!B5</f>
        <v>50</v>
      </c>
      <c r="H5" s="15" t="s">
        <v>3</v>
      </c>
      <c r="I5" s="109">
        <f>IF(G5&gt;=(2*G7),1,0)</f>
        <v>1</v>
      </c>
      <c r="J5" s="284" t="str">
        <f>IF(G5&gt;=(2*G7),"Breedte is ten minste gelijk aan 2x de dikte","Breedte is kleiner dan 2x de dikte")</f>
        <v>Breedte is ten minste gelijk aan 2x de dikte</v>
      </c>
      <c r="K5" s="284"/>
      <c r="L5" s="284"/>
      <c r="M5" s="5"/>
      <c r="N5" s="5"/>
      <c r="O5" s="5"/>
      <c r="P5" s="5"/>
      <c r="Q5" s="5"/>
    </row>
    <row r="6" spans="1:17" ht="18.75" customHeight="1">
      <c r="A6" s="207" t="s">
        <v>65</v>
      </c>
      <c r="B6" s="60">
        <f>'Input &amp; output'!H5</f>
        <v>0.3</v>
      </c>
      <c r="C6" s="6"/>
      <c r="D6" s="15"/>
      <c r="F6" s="196" t="s">
        <v>6</v>
      </c>
      <c r="G6" s="60">
        <f>'Input &amp; output'!B6</f>
        <v>20</v>
      </c>
      <c r="H6" s="15" t="s">
        <v>3</v>
      </c>
      <c r="I6" s="109">
        <f>IF(G6&lt;=(0.5*G4),1,0)</f>
        <v>1</v>
      </c>
      <c r="J6" s="284" t="str">
        <f>IF(G6&lt;=(0.5*G4),"Lip is kleiner of gelijk aan halve profielhoogte","Lip is groter dan de halve profielhoogte")</f>
        <v>Lip is kleiner of gelijk aan halve profielhoogte</v>
      </c>
      <c r="K6" s="284"/>
      <c r="L6" s="284"/>
      <c r="M6" s="5"/>
      <c r="N6" s="5"/>
      <c r="O6" s="5"/>
      <c r="P6" s="5"/>
      <c r="Q6" s="5"/>
    </row>
    <row r="7" spans="1:17" ht="18.75" customHeight="1">
      <c r="A7" s="202" t="s">
        <v>146</v>
      </c>
      <c r="B7" s="60">
        <f>'Input &amp; output'!H6</f>
        <v>350</v>
      </c>
      <c r="C7" s="6" t="s">
        <v>15</v>
      </c>
      <c r="D7" s="15"/>
      <c r="F7" s="196" t="s">
        <v>2</v>
      </c>
      <c r="G7" s="60">
        <f>'Input &amp; output'!B7</f>
        <v>1</v>
      </c>
      <c r="H7" s="15" t="s">
        <v>3</v>
      </c>
      <c r="I7" s="109">
        <f>IF(MIN('Input &amp; output'!B39:B40,'Input &amp; output'!F41:F42,'Input &amp; output'!F47:F48)&gt;0,1,0)</f>
        <v>1</v>
      </c>
      <c r="J7" s="284" t="str">
        <f>IF(MIN('Input &amp; output'!F39:F47)&gt;0,"Alle effectieve profielmaten zijn positief","Enkele effectieve profielmaten zijn negatief")</f>
        <v>Alle effectieve profielmaten zijn positief</v>
      </c>
      <c r="K7" s="284"/>
      <c r="L7" s="284"/>
      <c r="M7" s="5"/>
      <c r="N7" s="5"/>
      <c r="O7" s="5"/>
      <c r="P7" s="5"/>
      <c r="Q7" s="5"/>
    </row>
    <row r="8" spans="1:17" ht="18.75" customHeight="1" thickBot="1">
      <c r="A8" s="202" t="s">
        <v>167</v>
      </c>
      <c r="B8" s="60">
        <f>'Input &amp; output'!H7</f>
        <v>1</v>
      </c>
      <c r="C8" s="6"/>
      <c r="D8" s="15"/>
      <c r="F8" s="209" t="s">
        <v>1</v>
      </c>
      <c r="G8" s="61">
        <f>'Input &amp; output'!B8</f>
        <v>-0.5</v>
      </c>
      <c r="H8" s="21" t="s">
        <v>3</v>
      </c>
      <c r="I8" s="5"/>
      <c r="J8" s="5"/>
      <c r="K8" s="5"/>
      <c r="L8" s="5"/>
      <c r="M8" s="5"/>
      <c r="N8" s="5"/>
      <c r="O8" s="5"/>
      <c r="P8" s="5"/>
      <c r="Q8" s="5"/>
    </row>
    <row r="9" spans="1:17" ht="18.75" customHeight="1" thickBot="1">
      <c r="A9" s="208" t="s">
        <v>168</v>
      </c>
      <c r="B9" s="61">
        <f>'Input &amp; output'!H8</f>
        <v>1</v>
      </c>
      <c r="C9" s="17"/>
      <c r="D9" s="21"/>
      <c r="F9" s="6"/>
      <c r="G9" s="6"/>
      <c r="H9" s="6"/>
      <c r="I9" s="5"/>
      <c r="J9" s="297" t="str">
        <f>IF(SUM(I4:I7)=4,"Profiel fysisch mogelijk","Profiel fysisch niet mogelijk")</f>
        <v>Profiel fysisch mogelijk</v>
      </c>
      <c r="K9" s="297"/>
      <c r="L9" s="297"/>
      <c r="M9" s="5"/>
      <c r="O9" s="5"/>
      <c r="P9" s="5"/>
      <c r="Q9" s="5"/>
    </row>
    <row r="10" spans="1:17">
      <c r="A10" s="5"/>
      <c r="B10" s="28"/>
      <c r="C10" s="28"/>
      <c r="D10" s="28"/>
      <c r="F10" s="2"/>
      <c r="G10" s="2"/>
      <c r="H10" s="2"/>
      <c r="I10" s="5"/>
      <c r="J10" s="5"/>
      <c r="K10" s="5"/>
      <c r="L10" s="6"/>
      <c r="M10" s="6"/>
      <c r="O10" s="6"/>
      <c r="P10" s="5"/>
      <c r="Q10" s="5"/>
    </row>
    <row r="11" spans="1:17">
      <c r="A11" s="6"/>
      <c r="B11" s="5"/>
      <c r="C11" s="5"/>
      <c r="D11" s="8"/>
      <c r="E11" s="9"/>
      <c r="F11" s="5"/>
      <c r="G11" s="5"/>
      <c r="H11" s="5"/>
      <c r="I11" s="5"/>
      <c r="J11" s="70"/>
      <c r="K11" s="70"/>
      <c r="L11" s="5"/>
      <c r="M11" s="6"/>
      <c r="N11" s="28"/>
      <c r="O11" s="45"/>
      <c r="P11" s="6"/>
      <c r="Q11" s="5"/>
    </row>
    <row r="12" spans="1:17" ht="18.75" customHeight="1">
      <c r="A12" s="33" t="s">
        <v>34</v>
      </c>
      <c r="B12" s="28"/>
      <c r="C12" s="28"/>
      <c r="D12" s="28"/>
      <c r="E12" s="28"/>
      <c r="F12" s="28"/>
      <c r="G12" s="5"/>
      <c r="H12" s="5"/>
      <c r="I12" s="5"/>
      <c r="J12" s="70"/>
      <c r="K12" s="70"/>
      <c r="L12" s="5"/>
      <c r="M12" s="5"/>
      <c r="N12" s="28"/>
      <c r="O12" s="45"/>
      <c r="P12" s="6"/>
      <c r="Q12" s="5"/>
    </row>
    <row r="13" spans="1:17" ht="18.75" customHeight="1">
      <c r="A13" s="297" t="s">
        <v>175</v>
      </c>
      <c r="B13" s="297"/>
      <c r="C13" s="28">
        <f>G8</f>
        <v>-0.5</v>
      </c>
      <c r="D13" s="78" t="s">
        <v>35</v>
      </c>
      <c r="E13" s="35">
        <f>5*G7</f>
        <v>5</v>
      </c>
      <c r="F13" s="298" t="str">
        <f>IF(C13&lt;=E13,IF(C14&lt;=E14,"Invl. afrondingsstralen mag worden genegeerd","Invl. afrondingsstralen mag niet worden genegeerd"),"Invl. afrondingsstralen mag niet worden genegeerd")</f>
        <v>Invl. afrondingsstralen mag worden genegeerd</v>
      </c>
      <c r="G13" s="298"/>
      <c r="H13" s="298"/>
      <c r="I13" s="298"/>
      <c r="J13" s="130"/>
      <c r="K13" s="234" t="s">
        <v>58</v>
      </c>
      <c r="L13" s="5"/>
      <c r="N13" s="28"/>
      <c r="O13" s="45"/>
      <c r="P13" s="6"/>
      <c r="Q13" s="5"/>
    </row>
    <row r="14" spans="1:17" ht="18.75" customHeight="1">
      <c r="A14" s="297" t="s">
        <v>176</v>
      </c>
      <c r="B14" s="299"/>
      <c r="C14" s="28">
        <f>G8</f>
        <v>-0.5</v>
      </c>
      <c r="D14" s="78" t="s">
        <v>35</v>
      </c>
      <c r="E14" s="35">
        <f>0.1*MIN(B31,D31,F31)</f>
        <v>1.9500000000000002</v>
      </c>
      <c r="F14" s="298"/>
      <c r="G14" s="298"/>
      <c r="H14" s="298"/>
      <c r="I14" s="298"/>
      <c r="J14" s="130"/>
      <c r="K14" s="234" t="s">
        <v>58</v>
      </c>
      <c r="L14" s="5"/>
      <c r="M14" s="5"/>
      <c r="N14" s="28"/>
      <c r="O14" s="45"/>
      <c r="P14" s="6"/>
      <c r="Q14" s="5"/>
    </row>
    <row r="15" spans="1:17" ht="18.75" customHeight="1">
      <c r="A15" s="90"/>
      <c r="B15" s="90"/>
      <c r="C15" s="28"/>
      <c r="D15" s="78"/>
      <c r="E15" s="35"/>
      <c r="F15" s="97"/>
      <c r="G15" s="97"/>
      <c r="H15" s="97"/>
      <c r="I15" s="97"/>
      <c r="K15" s="75"/>
      <c r="L15" s="5"/>
      <c r="M15" s="5"/>
      <c r="N15" s="28"/>
      <c r="O15" s="45"/>
      <c r="P15" s="6"/>
      <c r="Q15" s="5"/>
    </row>
    <row r="16" spans="1:17" ht="18.75" customHeight="1">
      <c r="A16" s="90"/>
      <c r="B16" s="90"/>
      <c r="C16" s="28"/>
      <c r="D16" s="78"/>
      <c r="E16" s="35"/>
      <c r="F16" s="97"/>
      <c r="G16" s="97"/>
      <c r="H16" s="97"/>
      <c r="I16" s="97"/>
      <c r="K16" s="75"/>
      <c r="L16" s="5"/>
      <c r="M16" s="5"/>
      <c r="N16" s="54"/>
      <c r="P16" s="5"/>
      <c r="Q16" s="5"/>
    </row>
    <row r="17" spans="1:17" ht="18.75" customHeight="1" thickBot="1">
      <c r="A17" s="6"/>
      <c r="B17" s="29"/>
      <c r="C17" s="6"/>
      <c r="D17" s="28"/>
      <c r="E17" s="29"/>
      <c r="F17" s="35"/>
      <c r="G17" s="26"/>
      <c r="H17" s="26"/>
      <c r="I17" s="26"/>
      <c r="J17" s="26"/>
      <c r="K17" s="26"/>
      <c r="L17" s="5"/>
      <c r="M17" s="5"/>
      <c r="N17" s="6"/>
      <c r="O17" s="5"/>
      <c r="P17" s="5"/>
      <c r="Q17" s="5"/>
    </row>
    <row r="18" spans="1:17" ht="18.75" customHeight="1" thickBot="1">
      <c r="A18" s="38" t="s">
        <v>0</v>
      </c>
      <c r="B18" s="39"/>
      <c r="C18" s="40"/>
      <c r="D18" s="40"/>
      <c r="J18" s="5"/>
      <c r="K18" s="6"/>
      <c r="L18" s="6"/>
      <c r="M18" s="5"/>
      <c r="N18" s="5"/>
    </row>
    <row r="19" spans="1:17" ht="18.75" customHeight="1">
      <c r="A19" s="202" t="s">
        <v>142</v>
      </c>
      <c r="B19" s="64">
        <f>G8+G7/2</f>
        <v>0</v>
      </c>
      <c r="C19" s="6" t="s">
        <v>3</v>
      </c>
      <c r="D19" s="15"/>
      <c r="I19" s="205" t="s">
        <v>206</v>
      </c>
      <c r="K19" s="5"/>
      <c r="L19" s="5"/>
    </row>
    <row r="20" spans="1:17" ht="18.75" customHeight="1">
      <c r="A20" s="202" t="s">
        <v>20</v>
      </c>
      <c r="B20" s="64">
        <f>B19*(TAN(45*PI()/180)-SIN(45*PI()/180))</f>
        <v>0</v>
      </c>
      <c r="C20" s="6" t="s">
        <v>3</v>
      </c>
      <c r="D20" s="15"/>
      <c r="F20" s="101"/>
      <c r="I20" s="205" t="s">
        <v>207</v>
      </c>
      <c r="K20" s="5"/>
      <c r="L20" s="5"/>
    </row>
    <row r="21" spans="1:17" ht="18.75" customHeight="1">
      <c r="A21" s="211" t="s">
        <v>143</v>
      </c>
      <c r="B21" s="64">
        <f>0.5*PI()*B19</f>
        <v>0</v>
      </c>
      <c r="C21" s="6" t="s">
        <v>3</v>
      </c>
      <c r="D21" s="15"/>
      <c r="I21" s="205" t="s">
        <v>210</v>
      </c>
      <c r="K21" s="5"/>
      <c r="L21" s="5"/>
    </row>
    <row r="22" spans="1:17" ht="18.75">
      <c r="A22" s="202" t="s">
        <v>144</v>
      </c>
      <c r="B22" s="64">
        <f>0.637*B19</f>
        <v>0</v>
      </c>
      <c r="C22" s="6" t="s">
        <v>3</v>
      </c>
      <c r="D22" s="15"/>
      <c r="I22" s="205" t="s">
        <v>208</v>
      </c>
      <c r="K22" s="5"/>
      <c r="L22" s="5"/>
    </row>
    <row r="23" spans="1:17" ht="18.75">
      <c r="A23" s="202" t="s">
        <v>145</v>
      </c>
      <c r="B23" s="64">
        <f>0.149*(POWER(B19,3)*G7)</f>
        <v>0</v>
      </c>
      <c r="C23" s="155" t="s">
        <v>18</v>
      </c>
      <c r="D23" s="15"/>
      <c r="E23" s="28"/>
      <c r="G23" s="28"/>
      <c r="I23" s="205" t="s">
        <v>209</v>
      </c>
      <c r="K23" s="5"/>
      <c r="L23" s="5"/>
    </row>
    <row r="24" spans="1:17" ht="19.5" thickBot="1">
      <c r="A24" s="209" t="s">
        <v>177</v>
      </c>
      <c r="B24" s="65">
        <f>B21*G7</f>
        <v>0</v>
      </c>
      <c r="C24" s="17" t="s">
        <v>8</v>
      </c>
      <c r="D24" s="21"/>
      <c r="E24" s="28"/>
      <c r="F24" s="28"/>
      <c r="G24" s="28"/>
      <c r="I24" s="205" t="s">
        <v>211</v>
      </c>
      <c r="K24" s="5"/>
      <c r="L24" s="5"/>
    </row>
    <row r="25" spans="1:17" ht="18.75" customHeight="1">
      <c r="A25" s="146" t="str">
        <f>IF(B19=0,"Let op! Er wordt gerekend met scherpe hoeken!"," ")</f>
        <v>Let op! Er wordt gerekend met scherpe hoeken!</v>
      </c>
      <c r="B25" s="45"/>
      <c r="C25" s="6"/>
      <c r="D25" s="28"/>
      <c r="E25" s="28"/>
      <c r="F25" s="103"/>
      <c r="G25" s="28"/>
      <c r="H25" s="28"/>
      <c r="I25" s="28"/>
      <c r="M25" s="5"/>
      <c r="N25" s="5"/>
    </row>
    <row r="26" spans="1:17" ht="18.75" customHeight="1" thickBot="1">
      <c r="A26" s="8"/>
      <c r="B26" s="45"/>
      <c r="C26" s="6"/>
      <c r="D26" s="28"/>
      <c r="E26" s="28"/>
      <c r="F26" s="28"/>
      <c r="G26" s="28"/>
      <c r="H26" s="28"/>
      <c r="I26" s="28"/>
      <c r="M26" s="5"/>
      <c r="N26" s="5"/>
    </row>
    <row r="27" spans="1:17" ht="18.75" customHeight="1" thickBot="1">
      <c r="A27" s="38" t="s">
        <v>24</v>
      </c>
      <c r="B27" s="39"/>
      <c r="C27" s="39"/>
      <c r="D27" s="39"/>
      <c r="E27" s="39"/>
      <c r="F27" s="40"/>
      <c r="I27" s="5"/>
      <c r="M27" s="5"/>
      <c r="N27" s="5"/>
    </row>
    <row r="28" spans="1:17" ht="18.75">
      <c r="A28" s="196" t="s">
        <v>4</v>
      </c>
      <c r="B28" s="63">
        <f>G4</f>
        <v>100</v>
      </c>
      <c r="C28" s="212" t="s">
        <v>5</v>
      </c>
      <c r="D28" s="63">
        <f>G5</f>
        <v>50</v>
      </c>
      <c r="E28" s="212" t="s">
        <v>6</v>
      </c>
      <c r="F28" s="66">
        <f>G6</f>
        <v>20</v>
      </c>
      <c r="H28" s="8"/>
      <c r="I28" s="205" t="s">
        <v>212</v>
      </c>
      <c r="J28" s="205"/>
      <c r="K28" s="205" t="s">
        <v>213</v>
      </c>
      <c r="L28" s="205"/>
      <c r="M28" s="205" t="s">
        <v>214</v>
      </c>
      <c r="N28" s="235"/>
    </row>
    <row r="29" spans="1:17" ht="18.75">
      <c r="A29" s="196" t="s">
        <v>198</v>
      </c>
      <c r="B29" s="64">
        <f>B28-G7</f>
        <v>99</v>
      </c>
      <c r="C29" s="223" t="s">
        <v>200</v>
      </c>
      <c r="D29" s="64">
        <f>D28-G7</f>
        <v>49</v>
      </c>
      <c r="E29" s="223" t="s">
        <v>203</v>
      </c>
      <c r="F29" s="67">
        <f>F28-(0.5*G7)</f>
        <v>19.5</v>
      </c>
      <c r="H29" s="8"/>
      <c r="I29" s="205" t="s">
        <v>215</v>
      </c>
      <c r="J29" s="205"/>
      <c r="K29" s="205" t="s">
        <v>216</v>
      </c>
      <c r="L29" s="205"/>
      <c r="M29" s="205" t="s">
        <v>217</v>
      </c>
      <c r="N29" s="235"/>
    </row>
    <row r="30" spans="1:17" ht="18.75">
      <c r="A30" s="196" t="s">
        <v>148</v>
      </c>
      <c r="B30" s="64">
        <f>B29-(2*B19)</f>
        <v>99</v>
      </c>
      <c r="C30" s="223" t="s">
        <v>201</v>
      </c>
      <c r="D30" s="64">
        <f>D29-(2*B19)</f>
        <v>49</v>
      </c>
      <c r="E30" s="223" t="s">
        <v>204</v>
      </c>
      <c r="F30" s="67">
        <f>F29-B19</f>
        <v>19.5</v>
      </c>
      <c r="H30" s="6"/>
      <c r="I30" s="205" t="s">
        <v>218</v>
      </c>
      <c r="J30" s="205"/>
      <c r="K30" s="205" t="s">
        <v>219</v>
      </c>
      <c r="L30" s="205"/>
      <c r="M30" s="205" t="s">
        <v>220</v>
      </c>
      <c r="N30" s="235"/>
    </row>
    <row r="31" spans="1:17" ht="19.5" thickBot="1">
      <c r="A31" s="209" t="s">
        <v>199</v>
      </c>
      <c r="B31" s="65">
        <f>B29-(2*B20)</f>
        <v>99</v>
      </c>
      <c r="C31" s="233" t="s">
        <v>202</v>
      </c>
      <c r="D31" s="65">
        <f>D29-(2*B20)</f>
        <v>49</v>
      </c>
      <c r="E31" s="233" t="s">
        <v>205</v>
      </c>
      <c r="F31" s="68">
        <f>F29-B20</f>
        <v>19.5</v>
      </c>
      <c r="H31" s="6"/>
      <c r="I31" s="5"/>
      <c r="J31" s="5"/>
      <c r="K31" s="5"/>
      <c r="L31" s="5"/>
    </row>
    <row r="32" spans="1:17">
      <c r="I32" s="5"/>
      <c r="J32" s="5"/>
      <c r="K32" s="5"/>
      <c r="L32" s="5"/>
      <c r="M32" s="5"/>
      <c r="N32" s="5"/>
    </row>
    <row r="33" spans="1:17" ht="15.75" thickBot="1">
      <c r="I33" s="45"/>
      <c r="J33" s="5"/>
      <c r="K33" s="5"/>
      <c r="L33" s="5"/>
      <c r="M33" s="5"/>
      <c r="N33" s="5"/>
    </row>
    <row r="34" spans="1:17" ht="15.75" thickBot="1">
      <c r="A34" s="264" t="s">
        <v>274</v>
      </c>
      <c r="B34" s="39"/>
      <c r="C34" s="39"/>
      <c r="D34" s="39"/>
      <c r="E34" s="44"/>
      <c r="F34" s="39"/>
      <c r="G34" s="39"/>
      <c r="H34" s="40"/>
      <c r="I34" s="28"/>
      <c r="J34" s="5"/>
      <c r="K34" s="5"/>
      <c r="L34" s="5"/>
      <c r="M34" s="5"/>
      <c r="N34" s="5"/>
    </row>
    <row r="35" spans="1:17">
      <c r="A35" s="194" t="s">
        <v>165</v>
      </c>
      <c r="B35" s="135"/>
      <c r="C35" s="135"/>
      <c r="D35" s="265" t="s">
        <v>166</v>
      </c>
      <c r="E35" s="136"/>
      <c r="F35" s="136"/>
      <c r="G35" s="137"/>
      <c r="H35" s="138"/>
      <c r="I35" s="28"/>
      <c r="J35" s="6"/>
      <c r="K35" s="5"/>
      <c r="L35" s="5"/>
      <c r="M35" s="5"/>
      <c r="N35" s="5"/>
    </row>
    <row r="36" spans="1:17" ht="18.75">
      <c r="A36" s="213" t="s">
        <v>180</v>
      </c>
      <c r="B36" s="64">
        <f>(2*D29*G7)+(G7*B29)+(2*G7*F29)</f>
        <v>236</v>
      </c>
      <c r="C36" s="69" t="s">
        <v>8</v>
      </c>
      <c r="D36" s="217" t="s">
        <v>185</v>
      </c>
      <c r="E36" s="64">
        <f>(G7*B30)+(2*D30*G7)+(2*G7*F30)+(4*B24)</f>
        <v>236</v>
      </c>
      <c r="F36" s="76" t="s">
        <v>8</v>
      </c>
      <c r="G36" s="2"/>
      <c r="H36" s="15"/>
      <c r="I36" s="205" t="s">
        <v>221</v>
      </c>
      <c r="J36" s="205"/>
      <c r="K36" s="5"/>
      <c r="L36" s="5"/>
    </row>
    <row r="37" spans="1:17" ht="18.75">
      <c r="A37" s="214" t="s">
        <v>178</v>
      </c>
      <c r="B37" s="64">
        <f>((2*D29*G7*(0.5*D29))+(2*G7*F29*(D29)))/(B36)</f>
        <v>18.271186440677965</v>
      </c>
      <c r="C37" s="69" t="s">
        <v>3</v>
      </c>
      <c r="D37" s="217" t="s">
        <v>170</v>
      </c>
      <c r="E37" s="64">
        <f>(((B30*G7*(0.5*G7))+(2*B24*((B19-B22)+(0.5*G7)))+(2*D30*G7*(0.5*G5))+(2*B24*(G5-((0.5*G7)+(B19-B22))))+(2*F30*G7*(G5-(0.5*G7))))/E36)-(G7/2)</f>
        <v>18.271186440677965</v>
      </c>
      <c r="F37" s="77" t="s">
        <v>3</v>
      </c>
      <c r="G37" s="2"/>
      <c r="H37" s="15"/>
      <c r="I37" s="205" t="s">
        <v>222</v>
      </c>
      <c r="J37" s="205"/>
      <c r="K37" s="5"/>
      <c r="L37" s="5"/>
    </row>
    <row r="38" spans="1:17" ht="18.75" customHeight="1">
      <c r="A38" s="214" t="s">
        <v>179</v>
      </c>
      <c r="B38" s="64">
        <f>B29/2</f>
        <v>49.5</v>
      </c>
      <c r="C38" s="69" t="s">
        <v>3</v>
      </c>
      <c r="D38" s="217" t="s">
        <v>186</v>
      </c>
      <c r="E38" s="64">
        <f>B29/2</f>
        <v>49.5</v>
      </c>
      <c r="F38" s="76" t="s">
        <v>3</v>
      </c>
      <c r="G38" s="2"/>
      <c r="H38" s="15"/>
      <c r="I38" s="205" t="s">
        <v>223</v>
      </c>
      <c r="J38" s="205"/>
      <c r="K38" s="5"/>
      <c r="L38" s="5"/>
    </row>
    <row r="39" spans="1:17" ht="18.75">
      <c r="A39" s="213" t="s">
        <v>181</v>
      </c>
      <c r="B39" s="167">
        <f>(2*(D29*G7*POWER((B29/2),2)))+((1/12)*G7*POWER(B29,3))+(2*(((1/12)*G7*POWER((F29),3))+(G7*(F29)*POWER(((B29/2)-F29+(F29/2)),2))))</f>
        <v>383841</v>
      </c>
      <c r="C39" s="173" t="s">
        <v>18</v>
      </c>
      <c r="D39" s="217" t="s">
        <v>187</v>
      </c>
      <c r="E39" s="167">
        <f>(2*(+(D30*G7*POWER((B29/2),2))))+((1/12)*G7*POWER(B30,3))+(4*(B23+(B24*POWER(((B30/2)+B22),2))))+(2*(((1/12)*G7*POWER(F30,3))+(G7*F30*POWER(((G4/2)-G6+(F30/2)),2))))</f>
        <v>383841</v>
      </c>
      <c r="F39" s="172" t="s">
        <v>18</v>
      </c>
      <c r="G39" s="2"/>
      <c r="H39" s="15"/>
      <c r="I39" s="205" t="s">
        <v>224</v>
      </c>
      <c r="J39" s="205"/>
      <c r="K39" s="5"/>
      <c r="L39" s="5"/>
    </row>
    <row r="40" spans="1:17" ht="18.75">
      <c r="A40" s="213" t="s">
        <v>182</v>
      </c>
      <c r="B40" s="167">
        <f>G7*B29*B37^2+2/12*G7*D29^3+2*G7*D29*(D29/2-B37)^2+2*G7*F29*(D29-B37)^2</f>
        <v>93286.310734463274</v>
      </c>
      <c r="C40" s="173" t="s">
        <v>18</v>
      </c>
      <c r="D40" s="217" t="s">
        <v>188</v>
      </c>
      <c r="E40" s="167">
        <f>((B30*G7*POWER(E37,2)))+(2*(B23+(B24*POWER((E37-(B19-B22)),2))))+(2*(((1/12)*G7*POWER(D30,3))+(D30*G7*POWER(((D29/2)-E37),2))))+(2*(B23+(B24*POWER(((D29-(B19-B22))-E37),2))))+(2*((F30*G7*POWER((D29-E37),2))))</f>
        <v>93286.310734463274</v>
      </c>
      <c r="F40" s="172" t="s">
        <v>18</v>
      </c>
      <c r="G40" s="2"/>
      <c r="H40" s="15"/>
      <c r="I40" s="205" t="s">
        <v>225</v>
      </c>
      <c r="J40" s="205"/>
      <c r="K40" s="5"/>
      <c r="L40" s="5"/>
    </row>
    <row r="41" spans="1:17" ht="18.75">
      <c r="A41" s="213" t="s">
        <v>183</v>
      </c>
      <c r="B41" s="64">
        <f>SQRT(B39/B36)</f>
        <v>40.329206727311622</v>
      </c>
      <c r="C41" s="69" t="s">
        <v>3</v>
      </c>
      <c r="D41" s="217" t="s">
        <v>189</v>
      </c>
      <c r="E41" s="64">
        <f>SQRT(E39/E36)</f>
        <v>40.329206727311622</v>
      </c>
      <c r="F41" s="77" t="s">
        <v>3</v>
      </c>
      <c r="G41" s="2"/>
      <c r="H41" s="15"/>
      <c r="I41" s="205" t="s">
        <v>226</v>
      </c>
      <c r="J41" s="205"/>
      <c r="K41" s="5"/>
      <c r="L41" s="5"/>
    </row>
    <row r="42" spans="1:17" ht="19.5" thickBot="1">
      <c r="A42" s="215" t="s">
        <v>184</v>
      </c>
      <c r="B42" s="65">
        <f>SQRT(B40/B36)</f>
        <v>19.881674418629927</v>
      </c>
      <c r="C42" s="62" t="s">
        <v>3</v>
      </c>
      <c r="D42" s="218" t="s">
        <v>190</v>
      </c>
      <c r="E42" s="65">
        <f>SQRT(E40/E36)</f>
        <v>19.881674418629927</v>
      </c>
      <c r="F42" s="94" t="s">
        <v>3</v>
      </c>
      <c r="G42" s="3"/>
      <c r="H42" s="21"/>
      <c r="I42" s="205" t="s">
        <v>227</v>
      </c>
      <c r="J42" s="205"/>
      <c r="K42" s="5"/>
      <c r="L42" s="5"/>
    </row>
    <row r="43" spans="1:17" ht="15.75">
      <c r="A43" s="146" t="str">
        <f>IF(B19=0,"Let op! Er wordt gerekend met scherpe hoeken!"," ")</f>
        <v>Let op! Er wordt gerekend met scherpe hoeken!</v>
      </c>
      <c r="B43" s="8"/>
      <c r="C43" s="8"/>
      <c r="D43" s="8"/>
      <c r="E43" s="30"/>
      <c r="F43" s="45"/>
      <c r="G43" s="8"/>
      <c r="H43" s="6"/>
      <c r="I43" s="28"/>
      <c r="J43" s="6"/>
      <c r="K43" s="144"/>
      <c r="L43" s="5"/>
      <c r="M43" s="5"/>
      <c r="N43" s="5"/>
    </row>
    <row r="44" spans="1:17" ht="15.75">
      <c r="A44" s="30"/>
      <c r="B44" s="8"/>
      <c r="C44" s="8"/>
      <c r="D44" s="8"/>
      <c r="E44" s="30"/>
      <c r="F44" s="45"/>
      <c r="G44" s="8"/>
      <c r="H44" s="6"/>
      <c r="I44" s="28"/>
      <c r="J44" s="6"/>
      <c r="L44" s="5"/>
      <c r="M44" s="5"/>
      <c r="N44" s="5"/>
    </row>
    <row r="45" spans="1:17" ht="15" customHeight="1">
      <c r="A45" s="30"/>
      <c r="B45" s="8"/>
      <c r="C45" s="8"/>
      <c r="D45" s="8"/>
      <c r="E45" s="30"/>
      <c r="F45" s="45"/>
      <c r="G45" s="8"/>
      <c r="H45" s="6"/>
      <c r="I45" s="28"/>
      <c r="J45" s="31"/>
      <c r="K45" s="6"/>
      <c r="L45" s="6"/>
      <c r="M45" s="6"/>
      <c r="N45" s="144"/>
      <c r="O45" s="5"/>
      <c r="P45" s="5"/>
      <c r="Q45" s="5"/>
    </row>
    <row r="46" spans="1:17" ht="15" customHeight="1">
      <c r="A46" s="30"/>
      <c r="B46" s="144"/>
      <c r="C46" s="8"/>
      <c r="D46" s="8"/>
      <c r="E46" s="30"/>
      <c r="F46" s="45"/>
      <c r="G46" s="8"/>
      <c r="H46" s="6"/>
      <c r="I46" s="28"/>
      <c r="J46" s="31"/>
      <c r="K46" s="6"/>
      <c r="L46" s="6"/>
      <c r="M46" s="6"/>
      <c r="O46" s="5"/>
      <c r="P46" s="5"/>
      <c r="Q46" s="5"/>
    </row>
    <row r="47" spans="1:17" ht="18.75" customHeight="1">
      <c r="A47" s="30"/>
      <c r="B47" s="8"/>
      <c r="C47" s="8"/>
      <c r="D47" s="8"/>
      <c r="E47" s="30"/>
      <c r="F47" s="45"/>
      <c r="G47" s="8"/>
      <c r="H47" s="6"/>
      <c r="I47" s="28"/>
      <c r="J47" s="31"/>
      <c r="K47" s="6"/>
      <c r="L47" s="6"/>
      <c r="M47" s="6"/>
      <c r="N47" s="127"/>
      <c r="O47" s="5"/>
      <c r="P47" s="5"/>
      <c r="Q47" s="5"/>
    </row>
    <row r="48" spans="1:17" ht="18.75" customHeight="1">
      <c r="A48" s="30"/>
      <c r="B48" s="8"/>
      <c r="C48" s="8"/>
      <c r="D48" s="8"/>
      <c r="E48" s="30"/>
      <c r="F48" s="45"/>
      <c r="G48" s="8"/>
      <c r="H48" s="6"/>
      <c r="I48" s="28"/>
      <c r="J48" s="31"/>
      <c r="K48" s="6"/>
      <c r="L48" s="6"/>
      <c r="M48" s="6"/>
      <c r="O48" s="5"/>
      <c r="P48" s="5"/>
      <c r="Q48" s="5"/>
    </row>
    <row r="49" spans="1:17" ht="18.75" customHeight="1">
      <c r="A49" s="30"/>
      <c r="B49" s="147"/>
      <c r="C49" s="8"/>
      <c r="D49" s="8"/>
      <c r="E49" s="30"/>
      <c r="F49" s="45"/>
      <c r="G49" s="8"/>
      <c r="H49" s="6"/>
      <c r="I49" s="28"/>
      <c r="J49" s="31"/>
      <c r="K49" s="6"/>
      <c r="L49" s="6"/>
      <c r="M49" s="6"/>
      <c r="N49" s="127"/>
      <c r="O49" s="5"/>
      <c r="P49" s="5"/>
      <c r="Q49" s="5"/>
    </row>
    <row r="50" spans="1:17" ht="18.75" customHeight="1">
      <c r="A50" s="30"/>
      <c r="B50" s="147"/>
      <c r="C50" s="8"/>
      <c r="D50" s="8"/>
      <c r="E50" s="30"/>
      <c r="F50" s="45"/>
      <c r="G50" s="8"/>
      <c r="H50" s="6"/>
      <c r="I50" s="28"/>
      <c r="J50" s="31"/>
      <c r="K50" s="6"/>
      <c r="L50" s="6"/>
      <c r="M50" s="6"/>
      <c r="N50" s="5"/>
      <c r="O50" s="5"/>
      <c r="P50" s="5"/>
      <c r="Q50" s="5"/>
    </row>
    <row r="51" spans="1:17" ht="18.75" customHeight="1"/>
    <row r="52" spans="1:17" ht="15" customHeight="1"/>
    <row r="53" spans="1:17" ht="15" customHeight="1"/>
    <row r="54" spans="1:17" ht="18.75" customHeight="1"/>
    <row r="55" spans="1:17" ht="18.75" customHeight="1"/>
    <row r="56" spans="1:17" ht="18.75" customHeight="1"/>
    <row r="57" spans="1:17" ht="18.75" customHeight="1"/>
    <row r="58" spans="1:17" ht="18.75" customHeight="1"/>
    <row r="59" spans="1:17" ht="18.75" customHeight="1"/>
    <row r="60" spans="1:17" ht="18.75" customHeight="1"/>
    <row r="61" spans="1:17" ht="18.75" customHeight="1"/>
    <row r="62" spans="1:17" ht="18.75" customHeight="1"/>
  </sheetData>
  <mergeCells count="9">
    <mergeCell ref="A3:D3"/>
    <mergeCell ref="J4:L4"/>
    <mergeCell ref="J9:L9"/>
    <mergeCell ref="F13:I14"/>
    <mergeCell ref="A14:B14"/>
    <mergeCell ref="A13:B13"/>
    <mergeCell ref="J5:L5"/>
    <mergeCell ref="J6:L6"/>
    <mergeCell ref="J7:L7"/>
  </mergeCells>
  <phoneticPr fontId="35" type="noConversion"/>
  <conditionalFormatting sqref="G17:K17 F15:F16">
    <cfRule type="cellIs" dxfId="17" priority="51" operator="equal">
      <formula>"Invloed afrondingsstralen mag worden genegeerd"</formula>
    </cfRule>
    <cfRule type="cellIs" dxfId="16" priority="52" operator="equal">
      <formula>"Invloed afrondingsstralen mag niet worden genegeerd"</formula>
    </cfRule>
  </conditionalFormatting>
  <conditionalFormatting sqref="F13">
    <cfRule type="cellIs" dxfId="15" priority="37" operator="equal">
      <formula>"Invloed afrondingsstralen mag worden genegeerd"</formula>
    </cfRule>
  </conditionalFormatting>
  <conditionalFormatting sqref="J4:L4">
    <cfRule type="cellIs" dxfId="14" priority="17" stopIfTrue="1" operator="equal">
      <formula>"Hoogte is kleiner dan 2x de dikte"</formula>
    </cfRule>
    <cfRule type="cellIs" dxfId="13" priority="18" stopIfTrue="1" operator="equal">
      <formula>"Hoogte is ten minste gelijk aan 2x de dikte"</formula>
    </cfRule>
  </conditionalFormatting>
  <conditionalFormatting sqref="J5:L5">
    <cfRule type="cellIs" dxfId="12" priority="15" stopIfTrue="1" operator="equal">
      <formula>"Breedte is kleiner dan 2x de dikte"</formula>
    </cfRule>
    <cfRule type="cellIs" dxfId="11" priority="16" stopIfTrue="1" operator="equal">
      <formula>"Breedte is ten minste gelijk aan 2x de dikte"</formula>
    </cfRule>
  </conditionalFormatting>
  <conditionalFormatting sqref="J6:L6">
    <cfRule type="cellIs" dxfId="10" priority="13" stopIfTrue="1" operator="equal">
      <formula>"Lip is groter dan de halve profielhoogte"</formula>
    </cfRule>
    <cfRule type="cellIs" dxfId="9" priority="14" stopIfTrue="1" operator="equal">
      <formula>"Lip is kleiner of gelijk aan halve profielhoogte"</formula>
    </cfRule>
  </conditionalFormatting>
  <conditionalFormatting sqref="J7:L7">
    <cfRule type="cellIs" dxfId="8" priority="11" stopIfTrue="1" operator="equal">
      <formula>"Enkele effectieve profielmaten zijn negatief"</formula>
    </cfRule>
    <cfRule type="cellIs" dxfId="7" priority="12" stopIfTrue="1" operator="equal">
      <formula>"Alle effectieve profielmaten zijn positief"</formula>
    </cfRule>
  </conditionalFormatting>
  <conditionalFormatting sqref="J9:L9">
    <cfRule type="cellIs" dxfId="6" priority="9" stopIfTrue="1" operator="equal">
      <formula>"Profiel fysisch niet mogelijk"</formula>
    </cfRule>
    <cfRule type="cellIs" dxfId="5" priority="10" stopIfTrue="1" operator="equal">
      <formula>"Profiel fysisch mogelijk"</formula>
    </cfRule>
  </conditionalFormatting>
  <conditionalFormatting sqref="F13:I14">
    <cfRule type="cellIs" dxfId="4" priority="3" stopIfTrue="1" operator="equal">
      <formula>"Invl. afrondingsstralen mag niet worden genegeerd"</formula>
    </cfRule>
    <cfRule type="cellIs" dxfId="3" priority="4" stopIfTrue="1" operator="equal">
      <formula>"Invl. afrondingsstralen mag worden genegeerd"</formula>
    </cfRule>
  </conditionalFormatting>
  <pageMargins left="0.15748031496062992" right="0.15748031496062992" top="0.15748031496062992" bottom="0.15748031496062992" header="0.31496062992125984" footer="0.31496062992125984"/>
  <pageSetup paperSize="9" scale="50" orientation="landscape" r:id="rId1"/>
  <rowBreaks count="1" manualBreakCount="1">
    <brk id="16" max="24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51"/>
  <sheetViews>
    <sheetView topLeftCell="A101" zoomScaleNormal="100" workbookViewId="0">
      <selection activeCell="I113" sqref="I113"/>
    </sheetView>
  </sheetViews>
  <sheetFormatPr defaultRowHeight="15"/>
  <cols>
    <col min="2" max="2" width="10" customWidth="1"/>
    <col min="3" max="3" width="7.7109375" customWidth="1"/>
    <col min="5" max="5" width="11.85546875" customWidth="1"/>
    <col min="6" max="6" width="10.42578125" customWidth="1"/>
    <col min="7" max="7" width="9.42578125" bestFit="1" customWidth="1"/>
    <col min="8" max="10" width="13.140625" bestFit="1" customWidth="1"/>
    <col min="11" max="11" width="13" customWidth="1"/>
    <col min="12" max="12" width="21.7109375" bestFit="1" customWidth="1"/>
    <col min="13" max="13" width="10.28515625" customWidth="1"/>
    <col min="14" max="14" width="10.7109375" customWidth="1"/>
    <col min="16" max="16" width="16.7109375" bestFit="1" customWidth="1"/>
    <col min="17" max="17" width="11.42578125" customWidth="1"/>
    <col min="18" max="18" width="12" bestFit="1" customWidth="1"/>
    <col min="19" max="19" width="8.7109375" bestFit="1" customWidth="1"/>
    <col min="20" max="20" width="12.140625" bestFit="1" customWidth="1"/>
    <col min="21" max="21" width="9.85546875" bestFit="1" customWidth="1"/>
    <col min="22" max="22" width="10.5703125" customWidth="1"/>
    <col min="23" max="23" width="9.85546875" bestFit="1" customWidth="1"/>
  </cols>
  <sheetData>
    <row r="1" spans="1:17" ht="29.25">
      <c r="A1" s="187" t="s">
        <v>271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17" ht="14.2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pans="1:17" ht="18.75" hidden="1" thickBot="1">
      <c r="A3" s="41" t="s">
        <v>12</v>
      </c>
      <c r="B3" s="42"/>
      <c r="C3" s="40"/>
      <c r="D3" s="40"/>
      <c r="F3" s="43" t="s">
        <v>7</v>
      </c>
      <c r="G3" s="39"/>
      <c r="H3" s="40"/>
      <c r="I3" s="5"/>
      <c r="J3" s="5"/>
      <c r="K3" s="5"/>
      <c r="L3" s="5"/>
      <c r="M3" s="5"/>
      <c r="N3" s="5"/>
      <c r="O3" s="5"/>
      <c r="P3" s="5"/>
      <c r="Q3" s="5"/>
    </row>
    <row r="4" spans="1:17" hidden="1">
      <c r="A4" s="206" t="s">
        <v>13</v>
      </c>
      <c r="B4" s="58">
        <f>'Input &amp; output'!H4</f>
        <v>210000</v>
      </c>
      <c r="C4" s="12" t="s">
        <v>15</v>
      </c>
      <c r="D4" s="22"/>
      <c r="F4" s="206" t="s">
        <v>4</v>
      </c>
      <c r="G4" s="58">
        <f>'Input &amp; output'!B4</f>
        <v>100</v>
      </c>
      <c r="H4" s="22" t="s">
        <v>3</v>
      </c>
      <c r="I4" s="5"/>
      <c r="J4" s="5"/>
      <c r="K4" s="5"/>
      <c r="L4" s="5"/>
    </row>
    <row r="5" spans="1:17" hidden="1">
      <c r="A5" s="196" t="s">
        <v>14</v>
      </c>
      <c r="B5" s="59">
        <f>B4/(2*(1+B6))</f>
        <v>80769.230769230766</v>
      </c>
      <c r="C5" s="6" t="s">
        <v>15</v>
      </c>
      <c r="D5" s="15"/>
      <c r="F5" s="196" t="s">
        <v>5</v>
      </c>
      <c r="G5" s="60">
        <f>'Input &amp; output'!B5</f>
        <v>50</v>
      </c>
      <c r="H5" s="15" t="s">
        <v>3</v>
      </c>
      <c r="I5" s="5"/>
      <c r="J5" s="5"/>
      <c r="K5" s="5"/>
      <c r="L5" s="5"/>
    </row>
    <row r="6" spans="1:17" hidden="1">
      <c r="A6" s="207" t="s">
        <v>65</v>
      </c>
      <c r="B6" s="60">
        <f>'Input &amp; output'!H5</f>
        <v>0.3</v>
      </c>
      <c r="C6" s="6"/>
      <c r="D6" s="15"/>
      <c r="F6" s="196" t="s">
        <v>6</v>
      </c>
      <c r="G6" s="60">
        <f>'Input &amp; output'!B6</f>
        <v>20</v>
      </c>
      <c r="H6" s="15" t="s">
        <v>3</v>
      </c>
      <c r="I6" s="5"/>
      <c r="J6" s="5"/>
      <c r="K6" s="5"/>
      <c r="L6" s="5"/>
    </row>
    <row r="7" spans="1:17" ht="18.75" hidden="1">
      <c r="A7" s="202" t="s">
        <v>146</v>
      </c>
      <c r="B7" s="60">
        <f>'Input &amp; output'!H6</f>
        <v>350</v>
      </c>
      <c r="C7" s="6" t="s">
        <v>15</v>
      </c>
      <c r="D7" s="15"/>
      <c r="F7" s="196" t="s">
        <v>2</v>
      </c>
      <c r="G7" s="60">
        <f>'Input &amp; output'!B7</f>
        <v>1</v>
      </c>
      <c r="H7" s="15" t="s">
        <v>3</v>
      </c>
      <c r="I7" s="5"/>
      <c r="J7" s="5"/>
      <c r="K7" s="5"/>
      <c r="L7" s="5"/>
    </row>
    <row r="8" spans="1:17" ht="19.5" hidden="1" thickBot="1">
      <c r="A8" s="202" t="s">
        <v>167</v>
      </c>
      <c r="B8" s="60">
        <f>'Input &amp; output'!H7</f>
        <v>1</v>
      </c>
      <c r="C8" s="6"/>
      <c r="D8" s="15"/>
      <c r="F8" s="209" t="s">
        <v>1</v>
      </c>
      <c r="G8" s="61">
        <f>'Input &amp; output'!B8</f>
        <v>-0.5</v>
      </c>
      <c r="H8" s="21" t="s">
        <v>3</v>
      </c>
      <c r="I8" s="5"/>
      <c r="J8" s="5"/>
      <c r="K8" s="5"/>
      <c r="L8" s="5"/>
    </row>
    <row r="9" spans="1:17" ht="19.5" hidden="1" thickBot="1">
      <c r="A9" s="208" t="s">
        <v>168</v>
      </c>
      <c r="B9" s="61">
        <f>'Input &amp; output'!H8</f>
        <v>1</v>
      </c>
      <c r="C9" s="17"/>
      <c r="D9" s="21"/>
      <c r="F9" s="6"/>
      <c r="G9" s="6"/>
      <c r="H9" s="6"/>
      <c r="J9" s="5"/>
      <c r="K9" s="5"/>
      <c r="L9" s="5"/>
    </row>
    <row r="10" spans="1:17" hidden="1">
      <c r="A10" s="5"/>
      <c r="B10" s="28"/>
      <c r="C10" s="28"/>
      <c r="D10" s="28"/>
      <c r="F10" s="2"/>
      <c r="G10" s="2"/>
      <c r="H10" s="2"/>
      <c r="I10" s="5"/>
      <c r="J10" s="5"/>
      <c r="K10" s="5"/>
      <c r="L10" s="6"/>
      <c r="M10" s="6"/>
      <c r="O10" s="6"/>
      <c r="P10" s="5"/>
      <c r="Q10" s="5"/>
    </row>
    <row r="11" spans="1:17" ht="15.75" hidden="1">
      <c r="A11" s="90"/>
      <c r="B11" s="90"/>
      <c r="C11" s="28"/>
      <c r="D11" s="78"/>
      <c r="E11" s="35"/>
      <c r="F11" s="97"/>
      <c r="G11" s="97"/>
      <c r="H11" s="97"/>
      <c r="I11" s="97"/>
      <c r="K11" s="75"/>
      <c r="L11" s="5"/>
      <c r="M11" s="5"/>
      <c r="N11" s="54"/>
      <c r="P11" s="5"/>
      <c r="Q11" s="5"/>
    </row>
    <row r="12" spans="1:17" ht="15.75" hidden="1">
      <c r="A12" s="90"/>
      <c r="B12" s="90"/>
      <c r="C12" s="28"/>
      <c r="D12" s="78"/>
      <c r="E12" s="35"/>
      <c r="F12" s="97"/>
      <c r="G12" s="97"/>
      <c r="H12" s="97"/>
      <c r="I12" s="97"/>
      <c r="K12" s="75"/>
      <c r="L12" s="5"/>
      <c r="M12" s="5"/>
      <c r="N12" s="54"/>
      <c r="P12" s="5"/>
      <c r="Q12" s="5"/>
    </row>
    <row r="13" spans="1:17" ht="16.5" hidden="1" thickBot="1">
      <c r="A13" s="6"/>
      <c r="B13" s="29"/>
      <c r="C13" s="6"/>
      <c r="D13" s="28"/>
      <c r="E13" s="29"/>
      <c r="F13" s="35"/>
      <c r="G13" s="26"/>
      <c r="H13" s="26"/>
      <c r="I13" s="26"/>
      <c r="J13" s="26"/>
      <c r="K13" s="26"/>
      <c r="L13" s="5"/>
      <c r="M13" s="5"/>
      <c r="N13" s="6"/>
      <c r="O13" s="5"/>
      <c r="P13" s="5"/>
      <c r="Q13" s="5"/>
    </row>
    <row r="14" spans="1:17" ht="15.75" hidden="1" thickBot="1">
      <c r="A14" s="38" t="s">
        <v>0</v>
      </c>
      <c r="B14" s="39"/>
      <c r="C14" s="40"/>
      <c r="D14" s="40"/>
      <c r="L14" s="8"/>
      <c r="M14" s="5"/>
      <c r="N14" s="6"/>
      <c r="O14" s="6"/>
      <c r="P14" s="5"/>
      <c r="Q14" s="5"/>
    </row>
    <row r="15" spans="1:17" ht="18.75" hidden="1">
      <c r="A15" s="202" t="s">
        <v>142</v>
      </c>
      <c r="B15" s="64">
        <f>G8+G7/2</f>
        <v>0</v>
      </c>
      <c r="C15" s="6" t="s">
        <v>3</v>
      </c>
      <c r="D15" s="15"/>
      <c r="N15" s="127" t="s">
        <v>90</v>
      </c>
      <c r="P15" s="5"/>
      <c r="Q15" s="5"/>
    </row>
    <row r="16" spans="1:17" ht="18.75" hidden="1">
      <c r="A16" s="202" t="s">
        <v>20</v>
      </c>
      <c r="B16" s="64">
        <f>B15*(TAN(45*PI()/180)-SIN(45*PI()/180))</f>
        <v>0</v>
      </c>
      <c r="C16" s="6" t="s">
        <v>3</v>
      </c>
      <c r="D16" s="15"/>
      <c r="F16" s="101" t="str">
        <f>IF(B15=0,"Let op!, Er wordt hier gerekend met scherpe hoeken!","")</f>
        <v>Let op!, Er wordt hier gerekend met scherpe hoeken!</v>
      </c>
      <c r="N16" s="127" t="s">
        <v>91</v>
      </c>
      <c r="P16" s="5"/>
      <c r="Q16" s="5"/>
    </row>
    <row r="17" spans="1:18" ht="21.75" hidden="1">
      <c r="A17" s="236" t="s">
        <v>229</v>
      </c>
      <c r="B17" s="64">
        <f>0.5*PI()*B15</f>
        <v>0</v>
      </c>
      <c r="C17" s="6" t="s">
        <v>3</v>
      </c>
      <c r="D17" s="15"/>
      <c r="N17" s="128" t="s">
        <v>92</v>
      </c>
      <c r="P17" s="5"/>
      <c r="Q17" s="5"/>
    </row>
    <row r="18" spans="1:18" ht="15" hidden="1" customHeight="1">
      <c r="A18" s="202" t="s">
        <v>144</v>
      </c>
      <c r="B18" s="64">
        <f>0.637*B15</f>
        <v>0</v>
      </c>
      <c r="C18" s="6" t="s">
        <v>3</v>
      </c>
      <c r="D18" s="15"/>
      <c r="N18" s="127" t="s">
        <v>93</v>
      </c>
      <c r="P18" s="5"/>
      <c r="Q18" s="5"/>
    </row>
    <row r="19" spans="1:18" ht="18.75" hidden="1">
      <c r="A19" s="202" t="s">
        <v>145</v>
      </c>
      <c r="B19" s="64">
        <f>0.149*(POWER(B15,3)*G7)</f>
        <v>0</v>
      </c>
      <c r="C19" s="6" t="s">
        <v>18</v>
      </c>
      <c r="D19" s="15"/>
      <c r="E19" s="28"/>
      <c r="F19" s="28"/>
      <c r="G19" s="28"/>
      <c r="H19" s="28"/>
      <c r="I19" s="28"/>
      <c r="J19" s="28"/>
      <c r="K19" s="28"/>
      <c r="L19" s="28"/>
      <c r="N19" s="127" t="s">
        <v>94</v>
      </c>
      <c r="P19" s="5"/>
      <c r="Q19" s="5"/>
    </row>
    <row r="20" spans="1:18" ht="20.25" hidden="1" thickBot="1">
      <c r="A20" s="210" t="s">
        <v>228</v>
      </c>
      <c r="B20" s="65">
        <f>B17*G7</f>
        <v>0</v>
      </c>
      <c r="C20" s="17" t="s">
        <v>8</v>
      </c>
      <c r="D20" s="21"/>
      <c r="E20" s="28"/>
      <c r="F20" s="28"/>
      <c r="G20" s="28"/>
      <c r="H20" s="28"/>
      <c r="I20" s="28"/>
      <c r="J20" s="28"/>
      <c r="K20" s="28"/>
      <c r="L20" s="28"/>
      <c r="N20" s="127"/>
      <c r="P20" s="5"/>
      <c r="Q20" s="5"/>
    </row>
    <row r="21" spans="1:18" hidden="1">
      <c r="A21" s="8"/>
      <c r="B21" s="45"/>
      <c r="C21" s="6"/>
      <c r="D21" s="28"/>
      <c r="E21" s="28"/>
      <c r="F21" s="103"/>
      <c r="G21" s="28"/>
      <c r="H21" s="28"/>
      <c r="I21" s="28"/>
      <c r="J21" s="28"/>
      <c r="K21" s="28"/>
      <c r="L21" s="28"/>
      <c r="P21" s="5"/>
      <c r="Q21" s="5"/>
    </row>
    <row r="22" spans="1:18" ht="15.75" hidden="1" thickBot="1">
      <c r="A22" s="8"/>
      <c r="B22" s="45"/>
      <c r="C22" s="6"/>
      <c r="D22" s="28"/>
      <c r="E22" s="28"/>
      <c r="F22" s="28"/>
      <c r="G22" s="28"/>
      <c r="H22" s="28"/>
      <c r="I22" s="28"/>
      <c r="J22" s="28"/>
      <c r="K22" s="28"/>
      <c r="L22" s="28"/>
      <c r="P22" s="5"/>
      <c r="Q22" s="5"/>
    </row>
    <row r="23" spans="1:18" ht="15.75" hidden="1" thickBot="1">
      <c r="A23" s="38" t="s">
        <v>24</v>
      </c>
      <c r="B23" s="39"/>
      <c r="C23" s="39"/>
      <c r="D23" s="39"/>
      <c r="E23" s="39"/>
      <c r="F23" s="40"/>
      <c r="I23" s="5"/>
      <c r="J23" s="5"/>
      <c r="K23" s="5"/>
      <c r="L23" s="5"/>
      <c r="P23" s="5"/>
      <c r="Q23" s="5"/>
    </row>
    <row r="24" spans="1:18" ht="18.75" hidden="1">
      <c r="A24" s="196" t="s">
        <v>4</v>
      </c>
      <c r="B24" s="63">
        <f>G4</f>
        <v>100</v>
      </c>
      <c r="C24" s="55" t="s">
        <v>5</v>
      </c>
      <c r="D24" s="63">
        <f>G5</f>
        <v>50</v>
      </c>
      <c r="E24" s="55" t="s">
        <v>6</v>
      </c>
      <c r="F24" s="66">
        <f>G6</f>
        <v>20</v>
      </c>
      <c r="I24" s="5"/>
      <c r="J24" s="5"/>
      <c r="K24" s="5"/>
      <c r="L24" s="5"/>
      <c r="M24" s="8"/>
      <c r="N24" s="127" t="s">
        <v>95</v>
      </c>
      <c r="O24" s="5"/>
      <c r="P24" s="129" t="s">
        <v>96</v>
      </c>
      <c r="Q24" s="5"/>
      <c r="R24" s="129" t="s">
        <v>97</v>
      </c>
    </row>
    <row r="25" spans="1:18" ht="19.5" hidden="1">
      <c r="A25" s="196" t="s">
        <v>198</v>
      </c>
      <c r="B25" s="64">
        <f>B24-G7</f>
        <v>99</v>
      </c>
      <c r="C25" s="56" t="s">
        <v>52</v>
      </c>
      <c r="D25" s="64">
        <f>D24-G7</f>
        <v>49</v>
      </c>
      <c r="E25" s="76" t="s">
        <v>230</v>
      </c>
      <c r="F25" s="67">
        <f>F24-(0.5*G7)</f>
        <v>19.5</v>
      </c>
      <c r="I25" s="5"/>
      <c r="J25" s="5"/>
      <c r="K25" s="5"/>
      <c r="L25" s="92"/>
      <c r="M25" s="8"/>
      <c r="N25" s="127" t="s">
        <v>98</v>
      </c>
      <c r="O25" s="5"/>
      <c r="P25" s="129" t="s">
        <v>99</v>
      </c>
      <c r="Q25" s="5"/>
      <c r="R25" s="129" t="s">
        <v>100</v>
      </c>
    </row>
    <row r="26" spans="1:18" ht="19.5" hidden="1">
      <c r="A26" s="196" t="s">
        <v>148</v>
      </c>
      <c r="B26" s="64">
        <f>B25-(2*B15)</f>
        <v>99</v>
      </c>
      <c r="C26" s="56" t="s">
        <v>53</v>
      </c>
      <c r="D26" s="64">
        <f>D25-(2*B15)</f>
        <v>49</v>
      </c>
      <c r="E26" s="76" t="s">
        <v>231</v>
      </c>
      <c r="F26" s="67">
        <f>F25-B15</f>
        <v>19.5</v>
      </c>
      <c r="I26" s="28"/>
      <c r="J26" s="31"/>
      <c r="K26" s="6"/>
      <c r="L26" s="93"/>
      <c r="M26" s="6"/>
      <c r="N26" s="127" t="s">
        <v>101</v>
      </c>
      <c r="O26" s="5"/>
      <c r="P26" s="129" t="s">
        <v>102</v>
      </c>
      <c r="Q26" s="5"/>
      <c r="R26" s="129" t="s">
        <v>103</v>
      </c>
    </row>
    <row r="27" spans="1:18" ht="20.25" hidden="1" thickBot="1">
      <c r="A27" s="209" t="s">
        <v>199</v>
      </c>
      <c r="B27" s="65">
        <f>B25-(2*B16)</f>
        <v>99</v>
      </c>
      <c r="C27" s="57" t="s">
        <v>54</v>
      </c>
      <c r="D27" s="65">
        <f>D25-(2*B16)</f>
        <v>49</v>
      </c>
      <c r="E27" s="94" t="s">
        <v>232</v>
      </c>
      <c r="F27" s="68">
        <f>F25-B16</f>
        <v>19.5</v>
      </c>
      <c r="J27" s="31"/>
      <c r="K27" s="6"/>
      <c r="M27" s="6"/>
      <c r="N27" s="5"/>
      <c r="O27" s="5"/>
      <c r="P27" s="5"/>
      <c r="Q27" s="5"/>
    </row>
    <row r="28" spans="1:18" ht="15.75" hidden="1">
      <c r="I28" s="5"/>
      <c r="J28" s="31"/>
      <c r="K28" s="5"/>
      <c r="L28" s="5"/>
      <c r="M28" s="5"/>
      <c r="N28" s="5"/>
      <c r="O28" s="5"/>
      <c r="P28" s="5"/>
      <c r="Q28" s="5"/>
    </row>
    <row r="29" spans="1:18" ht="16.5" hidden="1" thickBot="1">
      <c r="I29" s="45"/>
      <c r="J29" s="31"/>
      <c r="K29" s="5"/>
      <c r="L29" s="5"/>
      <c r="M29" s="5"/>
      <c r="N29" s="5"/>
      <c r="O29" s="5"/>
      <c r="P29" s="5"/>
      <c r="Q29" s="5"/>
    </row>
    <row r="30" spans="1:18" ht="18.75" hidden="1" thickBot="1">
      <c r="A30" s="193" t="s">
        <v>164</v>
      </c>
      <c r="B30" s="39"/>
      <c r="C30" s="39"/>
      <c r="D30" s="39"/>
      <c r="E30" s="44"/>
      <c r="F30" s="39"/>
      <c r="G30" s="39"/>
      <c r="H30" s="40"/>
      <c r="I30" s="28"/>
      <c r="J30" s="31"/>
      <c r="K30" s="5"/>
      <c r="L30" s="5"/>
      <c r="M30" s="5"/>
      <c r="N30" s="5"/>
      <c r="O30" s="5"/>
      <c r="P30" s="5"/>
      <c r="Q30" s="5"/>
    </row>
    <row r="31" spans="1:18" ht="15.75" hidden="1">
      <c r="A31" s="194" t="s">
        <v>22</v>
      </c>
      <c r="B31" s="135"/>
      <c r="C31" s="135"/>
      <c r="D31" s="195" t="s">
        <v>23</v>
      </c>
      <c r="E31" s="136"/>
      <c r="F31" s="136"/>
      <c r="G31" s="137"/>
      <c r="H31" s="138"/>
      <c r="I31" s="28"/>
      <c r="J31" s="31"/>
      <c r="K31" s="6"/>
      <c r="L31" s="6"/>
      <c r="M31" s="6"/>
      <c r="N31" s="5"/>
      <c r="O31" s="5"/>
      <c r="P31" s="5"/>
      <c r="Q31" s="5"/>
    </row>
    <row r="32" spans="1:18" ht="18.75" hidden="1">
      <c r="A32" s="213" t="s">
        <v>180</v>
      </c>
      <c r="B32" s="64">
        <f>(2*G5*G7)+(G7*(G4-(2*G7)))+(2*G7*(G6-G7))</f>
        <v>236</v>
      </c>
      <c r="C32" s="69" t="s">
        <v>8</v>
      </c>
      <c r="D32" s="217" t="s">
        <v>185</v>
      </c>
      <c r="E32" s="64">
        <f>(G7*B26)+(2*D26*G7)+(2*G7*F26)+(4*B20)</f>
        <v>236</v>
      </c>
      <c r="F32" s="76" t="s">
        <v>8</v>
      </c>
      <c r="G32" s="2"/>
      <c r="H32" s="15"/>
      <c r="I32" s="28"/>
      <c r="J32" s="31"/>
      <c r="K32" s="6"/>
      <c r="L32" s="6"/>
      <c r="M32" s="6"/>
      <c r="N32" s="127" t="s">
        <v>104</v>
      </c>
      <c r="O32" s="5"/>
      <c r="P32" s="5"/>
      <c r="Q32" s="5"/>
    </row>
    <row r="33" spans="1:17" ht="18.75" hidden="1">
      <c r="A33" s="214" t="s">
        <v>178</v>
      </c>
      <c r="B33" s="64">
        <f>(((2*G5*G7*(0.5*G5))+(G7*(G4-(2*G7))*(0.5*G7))+(2*G7*(G6-G7)*(G5-(0.5*G7))))/((2*G5*G7)+(G7*(G4-(2*G7)))+(2*G7*(G6-G7))))-(G7/2)</f>
        <v>18.271186440677965</v>
      </c>
      <c r="C33" s="69" t="s">
        <v>3</v>
      </c>
      <c r="D33" s="217" t="s">
        <v>170</v>
      </c>
      <c r="E33" s="64">
        <f>(((B26*G7*(0.5*G7))+(2*B20*((B15-B18)+(0.5*G7)))+(2*D26*G7*(0.5*G5))+(2*B20*(G5-((0.5*G7)+(B15-B18))))+(2*F26*G7*(G5-(0.5*G7))))/E32)-(G7/2)</f>
        <v>18.271186440677965</v>
      </c>
      <c r="F33" s="77" t="s">
        <v>3</v>
      </c>
      <c r="G33" s="2"/>
      <c r="H33" s="15"/>
      <c r="I33" s="28"/>
      <c r="J33" s="31"/>
      <c r="K33" s="6"/>
      <c r="L33" s="6"/>
      <c r="M33" s="6"/>
      <c r="N33" s="127" t="s">
        <v>105</v>
      </c>
      <c r="O33" s="5"/>
      <c r="P33" s="5"/>
      <c r="Q33" s="5"/>
    </row>
    <row r="34" spans="1:17" ht="18.75" hidden="1">
      <c r="A34" s="214" t="s">
        <v>179</v>
      </c>
      <c r="B34" s="64">
        <f>B25/2</f>
        <v>49.5</v>
      </c>
      <c r="C34" s="69" t="s">
        <v>3</v>
      </c>
      <c r="D34" s="217" t="s">
        <v>186</v>
      </c>
      <c r="E34" s="64">
        <f>B25/2</f>
        <v>49.5</v>
      </c>
      <c r="F34" s="76" t="s">
        <v>3</v>
      </c>
      <c r="G34" s="2"/>
      <c r="H34" s="15"/>
      <c r="I34" s="28"/>
      <c r="J34" s="133"/>
      <c r="K34" s="6"/>
      <c r="L34" s="6"/>
      <c r="M34" s="6"/>
      <c r="N34" s="127" t="s">
        <v>106</v>
      </c>
      <c r="O34" s="5"/>
      <c r="P34" s="5"/>
      <c r="Q34" s="5"/>
    </row>
    <row r="35" spans="1:17" ht="18.75" hidden="1">
      <c r="A35" s="213" t="s">
        <v>181</v>
      </c>
      <c r="B35" s="74">
        <f>(2*(D25*G7*POWER((B25/2),2)))+((1/12)*G7*POWER(B25,3))+(2*(((1/12)*G7*POWER((F25),3))+(G7*(F25)*POWER(((B25/2)-F25+(F25/2)),2))))</f>
        <v>383841</v>
      </c>
      <c r="C35" s="69" t="s">
        <v>18</v>
      </c>
      <c r="D35" s="217" t="s">
        <v>187</v>
      </c>
      <c r="E35" s="74">
        <f>(2*((D26*G7*POWER((B25/2),2))))+((1/12)*G7*POWER(B26,3))+(4*(B19+(B20*POWER(((B26/2)+B18),2))))+(2*(((1/12)*G7*POWER(F26,3))+(G7*F26*POWER(((G4/2)-G6+(F26/2)),2))))</f>
        <v>383841</v>
      </c>
      <c r="F35" s="77" t="s">
        <v>18</v>
      </c>
      <c r="G35" s="2"/>
      <c r="H35" s="15"/>
      <c r="I35" s="28"/>
      <c r="J35" s="134"/>
      <c r="K35" s="6"/>
      <c r="L35" s="45"/>
      <c r="M35" s="6"/>
      <c r="N35" s="144" t="s">
        <v>114</v>
      </c>
      <c r="O35" s="5"/>
      <c r="P35" s="5"/>
      <c r="Q35" s="5"/>
    </row>
    <row r="36" spans="1:17" ht="18.75" hidden="1">
      <c r="A36" s="213" t="s">
        <v>182</v>
      </c>
      <c r="B36" s="74">
        <f>G7*B25*B33^2+2/12*G7*D25^3+2*G7*D25*(D25/2-B33)^2+2*G7*F25*(D25-B33)^2</f>
        <v>93286.310734463274</v>
      </c>
      <c r="C36" s="69" t="s">
        <v>18</v>
      </c>
      <c r="D36" s="217" t="s">
        <v>188</v>
      </c>
      <c r="E36" s="74">
        <f>((B26*G7*POWER(E33,2)))+(2*(B19+(B20*POWER((E33-(B15-B18)),2))))+(2*(((1/12)*G7*POWER(D26,3))+(D26*G7*POWER(((D25/2)-E33),2))))+(2*(B19+(B20*POWER(((D25-(B15-B18))-E33),2))))+(2*((F26*G7*POWER((D25-E33),2))))</f>
        <v>93286.310734463274</v>
      </c>
      <c r="F36" s="77" t="s">
        <v>18</v>
      </c>
      <c r="G36" s="2"/>
      <c r="H36" s="15"/>
      <c r="I36" s="28"/>
      <c r="J36" s="133"/>
      <c r="K36" s="6"/>
      <c r="L36" s="45"/>
      <c r="M36" s="6"/>
      <c r="N36" s="144" t="s">
        <v>115</v>
      </c>
      <c r="O36" s="5"/>
      <c r="P36" s="5"/>
      <c r="Q36" s="5"/>
    </row>
    <row r="37" spans="1:17" ht="18.75" hidden="1">
      <c r="A37" s="213" t="s">
        <v>183</v>
      </c>
      <c r="B37" s="64">
        <f>SQRT(B35/B32)</f>
        <v>40.329206727311622</v>
      </c>
      <c r="C37" s="69" t="s">
        <v>3</v>
      </c>
      <c r="D37" s="217" t="s">
        <v>189</v>
      </c>
      <c r="E37" s="64">
        <f>SQRT(E35/E32)</f>
        <v>40.329206727311622</v>
      </c>
      <c r="F37" s="77" t="s">
        <v>3</v>
      </c>
      <c r="G37" s="2"/>
      <c r="H37" s="15"/>
      <c r="I37" s="28"/>
      <c r="J37" s="31"/>
      <c r="K37" s="6"/>
      <c r="L37" s="45"/>
      <c r="M37" s="6"/>
      <c r="N37" s="127" t="s">
        <v>107</v>
      </c>
      <c r="O37" s="5"/>
      <c r="P37" s="5"/>
      <c r="Q37" s="5"/>
    </row>
    <row r="38" spans="1:17" ht="19.5" hidden="1" thickBot="1">
      <c r="A38" s="215" t="s">
        <v>184</v>
      </c>
      <c r="B38" s="65">
        <f>SQRT(B36/B32)</f>
        <v>19.881674418629927</v>
      </c>
      <c r="C38" s="62" t="s">
        <v>3</v>
      </c>
      <c r="D38" s="218" t="s">
        <v>190</v>
      </c>
      <c r="E38" s="65">
        <f>SQRT(E36/E32)</f>
        <v>19.881674418629927</v>
      </c>
      <c r="F38" s="94" t="s">
        <v>3</v>
      </c>
      <c r="G38" s="3"/>
      <c r="H38" s="21"/>
      <c r="I38" s="28"/>
      <c r="J38" s="31"/>
      <c r="K38" s="6"/>
      <c r="L38" s="6"/>
      <c r="M38" s="6"/>
      <c r="N38" s="127" t="s">
        <v>108</v>
      </c>
      <c r="O38" s="5"/>
      <c r="P38" s="5"/>
      <c r="Q38" s="5"/>
    </row>
    <row r="39" spans="1:17" ht="15.75" hidden="1">
      <c r="A39" s="30"/>
      <c r="B39" s="8"/>
      <c r="C39" s="8"/>
      <c r="D39" s="8"/>
      <c r="E39" s="30"/>
      <c r="F39" s="45"/>
      <c r="G39" s="8"/>
      <c r="H39" s="6"/>
      <c r="I39" s="28"/>
      <c r="J39" s="31"/>
      <c r="K39" s="6"/>
      <c r="L39" s="6"/>
      <c r="M39" s="6"/>
      <c r="N39" s="127"/>
      <c r="O39" s="5"/>
      <c r="P39" s="5"/>
      <c r="Q39" s="5"/>
    </row>
    <row r="40" spans="1:17" ht="16.5" hidden="1" thickBot="1">
      <c r="A40" s="30"/>
      <c r="B40" s="8"/>
      <c r="C40" s="8"/>
      <c r="D40" s="8"/>
      <c r="E40" s="30"/>
      <c r="F40" s="45"/>
      <c r="G40" s="8"/>
      <c r="H40" s="6"/>
      <c r="I40" s="28"/>
      <c r="J40" s="31"/>
      <c r="K40" s="6"/>
      <c r="L40" s="6"/>
      <c r="M40" s="6"/>
      <c r="O40" s="5"/>
      <c r="P40" s="5"/>
      <c r="Q40" s="5"/>
    </row>
    <row r="41" spans="1:17" ht="18.75" hidden="1" thickBot="1">
      <c r="A41" s="191" t="s">
        <v>158</v>
      </c>
      <c r="B41" s="39"/>
      <c r="C41" s="39"/>
      <c r="D41" s="39"/>
      <c r="E41" s="46"/>
      <c r="F41" s="237"/>
      <c r="G41" s="39"/>
      <c r="H41" s="238"/>
      <c r="I41" s="6"/>
      <c r="J41" s="6"/>
      <c r="K41" s="127"/>
      <c r="L41" s="5"/>
      <c r="M41" s="5"/>
      <c r="N41" s="5"/>
    </row>
    <row r="42" spans="1:17" ht="19.5" hidden="1" thickBot="1">
      <c r="A42" s="262"/>
      <c r="B42" s="39"/>
      <c r="C42" s="39" t="s">
        <v>159</v>
      </c>
      <c r="D42" s="39"/>
      <c r="E42" s="46"/>
      <c r="F42" s="192" t="s">
        <v>161</v>
      </c>
      <c r="G42" s="263">
        <f>E33</f>
        <v>18.271186440677965</v>
      </c>
      <c r="H42" s="238" t="s">
        <v>3</v>
      </c>
      <c r="I42" s="6"/>
      <c r="J42" s="6"/>
      <c r="K42" s="127"/>
      <c r="L42" s="5"/>
      <c r="M42" s="5"/>
      <c r="N42" s="5"/>
    </row>
    <row r="43" spans="1:17" ht="15.75" hidden="1">
      <c r="A43" s="30"/>
      <c r="B43" s="8"/>
      <c r="C43" s="8"/>
      <c r="D43" s="8"/>
      <c r="E43" s="30"/>
      <c r="F43" s="45"/>
      <c r="G43" s="8"/>
      <c r="H43" s="6"/>
      <c r="I43" s="6"/>
      <c r="J43" s="6"/>
      <c r="L43" s="5"/>
      <c r="M43" s="5"/>
      <c r="N43" s="5"/>
    </row>
    <row r="44" spans="1:17" ht="16.5" thickBot="1">
      <c r="A44" s="30"/>
      <c r="B44" s="8"/>
      <c r="C44" s="8"/>
      <c r="D44" s="8"/>
      <c r="E44" s="30"/>
      <c r="F44" s="45"/>
      <c r="G44" s="8"/>
      <c r="H44" s="6"/>
      <c r="I44" s="6"/>
      <c r="J44" s="6"/>
      <c r="K44" s="127"/>
      <c r="L44" s="5"/>
      <c r="M44" s="5"/>
      <c r="N44" s="5"/>
    </row>
    <row r="45" spans="1:17" ht="16.5" thickBot="1">
      <c r="A45" s="264" t="s">
        <v>160</v>
      </c>
      <c r="B45" s="39"/>
      <c r="C45" s="44"/>
      <c r="D45" s="39"/>
      <c r="E45" s="39"/>
      <c r="F45" s="44"/>
      <c r="G45" s="46"/>
      <c r="H45" s="40"/>
      <c r="I45" s="141"/>
      <c r="J45" s="5"/>
      <c r="K45" s="5"/>
      <c r="L45" s="5"/>
      <c r="M45" s="5"/>
      <c r="N45" s="5"/>
    </row>
    <row r="46" spans="1:17" ht="15.75">
      <c r="A46" s="73"/>
      <c r="B46" s="37"/>
      <c r="C46" s="12"/>
      <c r="D46" s="37"/>
      <c r="E46" s="37"/>
      <c r="F46" s="12"/>
      <c r="G46" s="71"/>
      <c r="H46" s="239"/>
      <c r="I46" s="5"/>
      <c r="J46" s="5"/>
    </row>
    <row r="47" spans="1:17" ht="15.75">
      <c r="A47" s="106"/>
      <c r="B47" s="8"/>
      <c r="C47" s="6"/>
      <c r="D47" s="8"/>
      <c r="E47" s="8"/>
      <c r="F47" s="6"/>
      <c r="G47" s="30"/>
      <c r="H47" s="239"/>
      <c r="I47" s="5"/>
      <c r="J47" s="5"/>
    </row>
    <row r="48" spans="1:17" ht="15.75">
      <c r="A48" s="106"/>
      <c r="B48" s="6"/>
      <c r="C48" s="45"/>
      <c r="D48" s="6"/>
      <c r="E48" s="8"/>
      <c r="F48" s="6"/>
      <c r="G48" s="30"/>
      <c r="H48" s="239"/>
      <c r="I48" s="5"/>
      <c r="J48" s="5"/>
    </row>
    <row r="49" spans="1:15" ht="15.75">
      <c r="A49" s="106"/>
      <c r="B49" s="6"/>
      <c r="C49" s="45"/>
      <c r="D49" s="6"/>
      <c r="E49" s="8"/>
      <c r="F49" s="6"/>
      <c r="G49" s="30"/>
      <c r="H49" s="239"/>
      <c r="I49" s="5"/>
      <c r="J49" s="5"/>
    </row>
    <row r="50" spans="1:15" ht="15.75">
      <c r="A50" s="106"/>
      <c r="B50" s="6"/>
      <c r="C50" s="45"/>
      <c r="D50" s="6"/>
      <c r="E50" s="8"/>
      <c r="F50" s="6"/>
      <c r="G50" s="30"/>
      <c r="H50" s="239"/>
      <c r="I50" s="5"/>
      <c r="J50" s="5"/>
    </row>
    <row r="51" spans="1:15" ht="15.75">
      <c r="A51" s="106"/>
      <c r="B51" s="6"/>
      <c r="C51" s="45"/>
      <c r="D51" s="6"/>
      <c r="E51" s="8"/>
      <c r="F51" s="6"/>
      <c r="G51" s="30"/>
      <c r="H51" s="239"/>
      <c r="I51" s="5"/>
      <c r="J51" s="5"/>
    </row>
    <row r="52" spans="1:15" ht="15.75">
      <c r="A52" s="106"/>
      <c r="B52" s="6"/>
      <c r="C52" s="45"/>
      <c r="D52" s="6"/>
      <c r="E52" s="8"/>
      <c r="F52" s="6"/>
      <c r="G52" s="30"/>
      <c r="H52" s="239"/>
      <c r="I52" s="5"/>
      <c r="J52" s="5"/>
    </row>
    <row r="53" spans="1:15" ht="15.75">
      <c r="A53" s="106"/>
      <c r="B53" s="6"/>
      <c r="C53" s="45"/>
      <c r="D53" s="6"/>
      <c r="E53" s="8"/>
      <c r="F53" s="6"/>
      <c r="G53" s="30"/>
      <c r="H53" s="239"/>
      <c r="I53" s="5"/>
      <c r="J53" s="5"/>
    </row>
    <row r="54" spans="1:15" ht="15.75">
      <c r="A54" s="106"/>
      <c r="B54" s="6"/>
      <c r="C54" s="45"/>
      <c r="D54" s="6"/>
      <c r="E54" s="8"/>
      <c r="F54" s="6"/>
      <c r="G54" s="30"/>
      <c r="H54" s="239"/>
      <c r="I54" s="5"/>
      <c r="J54" s="5"/>
    </row>
    <row r="55" spans="1:15" ht="15.75">
      <c r="A55" s="106"/>
      <c r="B55" s="6"/>
      <c r="C55" s="45"/>
      <c r="D55" s="6"/>
      <c r="E55" s="8"/>
      <c r="F55" s="6"/>
      <c r="G55" s="30"/>
      <c r="H55" s="239"/>
      <c r="I55" s="5"/>
      <c r="J55" s="5"/>
    </row>
    <row r="56" spans="1:15" ht="15.75">
      <c r="A56" s="106"/>
      <c r="B56" s="6"/>
      <c r="C56" s="45"/>
      <c r="D56" s="6"/>
      <c r="E56" s="8"/>
      <c r="F56" s="6"/>
      <c r="G56" s="30"/>
      <c r="H56" s="239"/>
      <c r="I56" s="5"/>
      <c r="J56" s="5"/>
    </row>
    <row r="57" spans="1:15" ht="15.75">
      <c r="A57" s="106"/>
      <c r="B57" s="6"/>
      <c r="C57" s="6"/>
      <c r="D57" s="6"/>
      <c r="E57" s="8"/>
      <c r="F57" s="6"/>
      <c r="G57" s="30"/>
      <c r="H57" s="239"/>
      <c r="I57" s="5"/>
      <c r="J57" s="5"/>
    </row>
    <row r="58" spans="1:15" ht="15.75">
      <c r="A58" s="106"/>
      <c r="B58" s="6"/>
      <c r="C58" s="6"/>
      <c r="D58" s="6"/>
      <c r="E58" s="8"/>
      <c r="F58" s="6"/>
      <c r="G58" s="30"/>
      <c r="H58" s="239"/>
      <c r="I58" s="5"/>
      <c r="J58" s="5"/>
    </row>
    <row r="59" spans="1:15" ht="15.75">
      <c r="A59" s="106"/>
      <c r="B59" s="6"/>
      <c r="C59" s="6"/>
      <c r="D59" s="6"/>
      <c r="E59" s="8"/>
      <c r="F59" s="6"/>
      <c r="G59" s="30"/>
      <c r="H59" s="239"/>
      <c r="I59" s="5"/>
      <c r="J59" s="5"/>
    </row>
    <row r="60" spans="1:15" ht="15.75">
      <c r="A60" s="106"/>
      <c r="B60" s="6"/>
      <c r="C60" s="6"/>
      <c r="D60" s="6"/>
      <c r="E60" s="8"/>
      <c r="F60" s="6"/>
      <c r="G60" s="30"/>
      <c r="H60" s="239"/>
      <c r="I60" s="5"/>
      <c r="J60" s="5"/>
    </row>
    <row r="61" spans="1:15" ht="15.75">
      <c r="A61" s="106"/>
      <c r="B61" s="6"/>
      <c r="C61" s="6"/>
      <c r="D61" s="6"/>
      <c r="E61" s="8"/>
      <c r="F61" s="6"/>
      <c r="G61" s="30"/>
      <c r="H61" s="239"/>
      <c r="I61" s="5"/>
      <c r="J61" s="5"/>
    </row>
    <row r="62" spans="1:15">
      <c r="A62" s="79" t="s">
        <v>50</v>
      </c>
      <c r="B62" s="111"/>
      <c r="C62" s="310" t="s">
        <v>49</v>
      </c>
      <c r="D62" s="311"/>
      <c r="E62" s="312"/>
      <c r="F62" s="80" t="s">
        <v>48</v>
      </c>
      <c r="G62" s="80" t="s">
        <v>36</v>
      </c>
      <c r="H62" s="240" t="s">
        <v>233</v>
      </c>
      <c r="I62" s="141"/>
      <c r="J62" s="141"/>
      <c r="K62" s="5"/>
      <c r="L62" s="5"/>
      <c r="M62" s="5"/>
      <c r="N62" s="5"/>
      <c r="O62" s="5"/>
    </row>
    <row r="63" spans="1:15" ht="18.75">
      <c r="A63" s="300" t="s">
        <v>162</v>
      </c>
      <c r="B63" s="301"/>
      <c r="C63" s="302" t="s">
        <v>69</v>
      </c>
      <c r="D63" s="303"/>
      <c r="E63" s="304"/>
      <c r="F63" s="222" t="s">
        <v>11</v>
      </c>
      <c r="G63" s="157" t="s">
        <v>38</v>
      </c>
      <c r="H63" s="241">
        <f>H73/-H75</f>
        <v>-0.59459459459459452</v>
      </c>
      <c r="I63" s="201" t="s">
        <v>109</v>
      </c>
      <c r="J63" s="143"/>
      <c r="K63" s="205" t="s">
        <v>248</v>
      </c>
      <c r="L63" s="5"/>
      <c r="M63" s="5"/>
      <c r="N63" s="5"/>
      <c r="O63" s="5"/>
    </row>
    <row r="64" spans="1:15" ht="18.75">
      <c r="A64" s="305"/>
      <c r="B64" s="306"/>
      <c r="C64" s="307" t="s">
        <v>193</v>
      </c>
      <c r="D64" s="308"/>
      <c r="E64" s="309"/>
      <c r="F64" s="223" t="s">
        <v>124</v>
      </c>
      <c r="G64" s="159" t="s">
        <v>38</v>
      </c>
      <c r="H64" s="242">
        <f>8.2/(1.05+H63)</f>
        <v>18.005934718100885</v>
      </c>
      <c r="I64" s="201" t="s">
        <v>109</v>
      </c>
      <c r="J64" s="143"/>
      <c r="K64" s="205"/>
      <c r="L64" s="5"/>
      <c r="M64" s="5"/>
      <c r="N64" s="5"/>
      <c r="O64" s="5"/>
    </row>
    <row r="65" spans="1:18" ht="18.75">
      <c r="A65" s="274"/>
      <c r="B65" s="306"/>
      <c r="C65" s="307" t="s">
        <v>194</v>
      </c>
      <c r="D65" s="308"/>
      <c r="E65" s="309"/>
      <c r="F65" s="223" t="s">
        <v>124</v>
      </c>
      <c r="G65" s="159" t="s">
        <v>38</v>
      </c>
      <c r="H65" s="242">
        <f>IF(H63=-1,23.9,7.81-6.29*H63+9.78*H63^2)</f>
        <v>15.007647918188457</v>
      </c>
      <c r="I65" s="201" t="s">
        <v>109</v>
      </c>
      <c r="J65" s="143"/>
      <c r="K65" s="205"/>
      <c r="L65" s="5"/>
      <c r="M65" s="5"/>
      <c r="N65" s="5"/>
      <c r="O65" s="5"/>
    </row>
    <row r="66" spans="1:18" ht="18.75">
      <c r="A66" s="274"/>
      <c r="B66" s="306"/>
      <c r="C66" s="313" t="s">
        <v>195</v>
      </c>
      <c r="D66" s="314"/>
      <c r="E66" s="315"/>
      <c r="F66" s="223" t="s">
        <v>124</v>
      </c>
      <c r="G66" s="159" t="s">
        <v>38</v>
      </c>
      <c r="H66" s="242">
        <f>5.98*(1-H63)^2</f>
        <v>15.205536888239592</v>
      </c>
      <c r="I66" s="201" t="s">
        <v>109</v>
      </c>
      <c r="J66" s="143"/>
      <c r="K66" s="205"/>
      <c r="L66" s="5"/>
      <c r="M66" s="5"/>
      <c r="N66" s="5"/>
      <c r="O66" s="5"/>
    </row>
    <row r="67" spans="1:18" ht="18.75">
      <c r="A67" s="274"/>
      <c r="B67" s="306"/>
      <c r="C67" s="316" t="s">
        <v>70</v>
      </c>
      <c r="D67" s="293"/>
      <c r="E67" s="317"/>
      <c r="F67" s="223" t="s">
        <v>124</v>
      </c>
      <c r="G67" s="159" t="s">
        <v>38</v>
      </c>
      <c r="H67" s="243">
        <f>IF(H63&gt;0,H64,IF(H63=0,H64,IF(H63&gt;-1,H65,IF(H63=-1,H65,IF(H63&gt;-3,H66,"Spanningsverhouding niet mogelijk")))))</f>
        <v>15.007647918188457</v>
      </c>
      <c r="I67" s="201" t="s">
        <v>109</v>
      </c>
      <c r="J67" s="143"/>
      <c r="K67" s="205"/>
      <c r="L67" s="5"/>
      <c r="M67" s="5"/>
      <c r="N67" s="5"/>
      <c r="O67" s="5"/>
    </row>
    <row r="68" spans="1:18" ht="17.25" customHeight="1">
      <c r="A68" s="274"/>
      <c r="B68" s="306"/>
      <c r="C68" s="307"/>
      <c r="D68" s="308"/>
      <c r="E68" s="309"/>
      <c r="F68" s="217" t="s">
        <v>9</v>
      </c>
      <c r="G68" s="159" t="s">
        <v>38</v>
      </c>
      <c r="H68" s="244">
        <f>SQRT(235/B7)</f>
        <v>0.81940745141142779</v>
      </c>
      <c r="I68" s="201" t="s">
        <v>59</v>
      </c>
      <c r="J68" s="143"/>
      <c r="K68" s="205"/>
      <c r="L68" s="5"/>
      <c r="M68" s="5"/>
      <c r="N68" s="5"/>
      <c r="O68" s="5"/>
    </row>
    <row r="69" spans="1:18" ht="16.5" customHeight="1">
      <c r="A69" s="274"/>
      <c r="B69" s="306"/>
      <c r="C69" s="307"/>
      <c r="D69" s="308"/>
      <c r="E69" s="309"/>
      <c r="G69" s="158" t="s">
        <v>3</v>
      </c>
      <c r="H69" s="244">
        <f>D27</f>
        <v>49</v>
      </c>
      <c r="I69" s="256"/>
      <c r="K69" s="205"/>
      <c r="L69" s="5"/>
      <c r="M69" s="5"/>
      <c r="N69" s="5"/>
      <c r="O69" s="5"/>
    </row>
    <row r="70" spans="1:18" ht="17.25" customHeight="1">
      <c r="A70" s="305"/>
      <c r="B70" s="309"/>
      <c r="C70" s="316" t="s">
        <v>37</v>
      </c>
      <c r="D70" s="293"/>
      <c r="E70" s="317"/>
      <c r="G70" s="159" t="s">
        <v>38</v>
      </c>
      <c r="H70" s="245">
        <f>(H69/G7)/(28.4*H68*SQRT(H67))</f>
        <v>0.54352749056875871</v>
      </c>
      <c r="I70" s="201" t="s">
        <v>61</v>
      </c>
      <c r="J70" s="143"/>
      <c r="K70" s="257"/>
      <c r="L70" s="98"/>
      <c r="M70" s="99"/>
      <c r="P70" s="2"/>
      <c r="Q70" s="104"/>
      <c r="R70" s="2"/>
    </row>
    <row r="71" spans="1:18" ht="15.75" customHeight="1">
      <c r="A71" s="305"/>
      <c r="B71" s="309"/>
      <c r="C71" s="321" t="s">
        <v>155</v>
      </c>
      <c r="D71" s="322"/>
      <c r="E71" s="323"/>
      <c r="F71" s="224" t="s">
        <v>192</v>
      </c>
      <c r="G71" s="231" t="s">
        <v>56</v>
      </c>
      <c r="H71" s="244">
        <f>B7/H70^2</f>
        <v>1184.745355539404</v>
      </c>
      <c r="I71" s="201"/>
      <c r="J71" s="143"/>
      <c r="K71" s="205" t="s">
        <v>238</v>
      </c>
      <c r="L71" s="98"/>
      <c r="M71" s="99"/>
      <c r="P71" s="2"/>
      <c r="Q71" s="104"/>
      <c r="R71" s="2"/>
    </row>
    <row r="72" spans="1:18" ht="18" customHeight="1">
      <c r="A72" s="318"/>
      <c r="B72" s="317"/>
      <c r="C72" s="316" t="s">
        <v>71</v>
      </c>
      <c r="D72" s="293"/>
      <c r="E72" s="317"/>
      <c r="F72" s="224" t="s">
        <v>10</v>
      </c>
      <c r="G72" s="159" t="s">
        <v>38</v>
      </c>
      <c r="H72" s="245">
        <f>IF(H70&gt;0.673,IF((H70-0.055*(3+$H63))/POWER(H70,2)&gt;1,1,(H70-0.055*(3+$H63))/POWER(H70,2)),1)</f>
        <v>1</v>
      </c>
      <c r="I72" s="201" t="s">
        <v>59</v>
      </c>
      <c r="J72" s="143"/>
      <c r="K72" s="235"/>
      <c r="P72" s="2"/>
      <c r="Q72" s="104"/>
      <c r="R72" s="2"/>
    </row>
    <row r="73" spans="1:18" ht="17.25" customHeight="1">
      <c r="A73" s="305"/>
      <c r="B73" s="309"/>
      <c r="C73" s="319" t="s">
        <v>234</v>
      </c>
      <c r="D73" s="284"/>
      <c r="E73" s="320"/>
      <c r="F73" s="217" t="s">
        <v>74</v>
      </c>
      <c r="G73" s="158" t="s">
        <v>3</v>
      </c>
      <c r="H73" s="244">
        <f>E33-B16</f>
        <v>18.271186440677965</v>
      </c>
      <c r="I73" s="201"/>
      <c r="J73" s="143"/>
      <c r="K73" s="205" t="s">
        <v>239</v>
      </c>
      <c r="P73" s="2"/>
      <c r="Q73" s="104"/>
      <c r="R73" s="2"/>
    </row>
    <row r="74" spans="1:18" ht="17.25" customHeight="1">
      <c r="A74" s="305"/>
      <c r="B74" s="309"/>
      <c r="C74" s="319"/>
      <c r="D74" s="284"/>
      <c r="E74" s="320"/>
      <c r="F74" s="217" t="s">
        <v>154</v>
      </c>
      <c r="G74" s="158" t="s">
        <v>3</v>
      </c>
      <c r="H74" s="244">
        <f>H73+B16-B15</f>
        <v>18.271186440677965</v>
      </c>
      <c r="I74" s="201"/>
      <c r="J74" s="143"/>
      <c r="K74" s="205" t="s">
        <v>240</v>
      </c>
      <c r="P74" s="2"/>
      <c r="Q74" s="104"/>
      <c r="R74" s="2"/>
    </row>
    <row r="75" spans="1:18" ht="15.75" customHeight="1">
      <c r="A75" s="305"/>
      <c r="B75" s="309"/>
      <c r="C75" s="319" t="s">
        <v>235</v>
      </c>
      <c r="D75" s="284"/>
      <c r="E75" s="320"/>
      <c r="F75" s="217" t="s">
        <v>75</v>
      </c>
      <c r="G75" s="158" t="s">
        <v>3</v>
      </c>
      <c r="H75" s="244">
        <f>H69-H73</f>
        <v>30.728813559322035</v>
      </c>
      <c r="I75" s="201"/>
      <c r="J75" s="143"/>
      <c r="K75" s="205" t="s">
        <v>241</v>
      </c>
      <c r="P75" s="2"/>
      <c r="Q75" s="104"/>
      <c r="R75" s="2"/>
    </row>
    <row r="76" spans="1:18" ht="15.75" customHeight="1">
      <c r="A76" s="305"/>
      <c r="B76" s="309"/>
      <c r="C76" s="316" t="s">
        <v>39</v>
      </c>
      <c r="D76" s="293"/>
      <c r="E76" s="317"/>
      <c r="F76" s="217" t="s">
        <v>21</v>
      </c>
      <c r="G76" s="158" t="s">
        <v>3</v>
      </c>
      <c r="H76" s="244">
        <f>H75*H72</f>
        <v>30.728813559322035</v>
      </c>
      <c r="I76" s="201" t="s">
        <v>109</v>
      </c>
      <c r="J76" s="143"/>
      <c r="K76" s="205" t="s">
        <v>242</v>
      </c>
      <c r="P76" s="2"/>
      <c r="Q76" s="104"/>
      <c r="R76" s="2"/>
    </row>
    <row r="77" spans="1:18" ht="15" customHeight="1">
      <c r="A77" s="305"/>
      <c r="B77" s="309"/>
      <c r="C77" s="316"/>
      <c r="D77" s="293"/>
      <c r="E77" s="317"/>
      <c r="F77" s="217" t="s">
        <v>126</v>
      </c>
      <c r="G77" s="158" t="s">
        <v>3</v>
      </c>
      <c r="H77" s="244">
        <f>H76-H78</f>
        <v>12.291525423728814</v>
      </c>
      <c r="I77" s="201" t="s">
        <v>109</v>
      </c>
      <c r="J77" s="143"/>
      <c r="K77" s="235"/>
      <c r="P77" s="2"/>
      <c r="Q77" s="104"/>
      <c r="R77" s="2"/>
    </row>
    <row r="78" spans="1:18" ht="14.25" customHeight="1">
      <c r="A78" s="305"/>
      <c r="B78" s="309"/>
      <c r="C78" s="316"/>
      <c r="D78" s="293"/>
      <c r="E78" s="317"/>
      <c r="F78" s="217" t="s">
        <v>125</v>
      </c>
      <c r="G78" s="158" t="s">
        <v>3</v>
      </c>
      <c r="H78" s="244">
        <f>$H$76*0.6</f>
        <v>18.437288135593221</v>
      </c>
      <c r="I78" s="201" t="s">
        <v>109</v>
      </c>
      <c r="J78" s="143"/>
      <c r="K78" s="235"/>
      <c r="P78" s="2"/>
      <c r="Q78" s="104"/>
      <c r="R78" s="2"/>
    </row>
    <row r="79" spans="1:18" ht="14.25" customHeight="1">
      <c r="A79" s="324"/>
      <c r="B79" s="325"/>
      <c r="C79" s="319" t="s">
        <v>72</v>
      </c>
      <c r="D79" s="284"/>
      <c r="E79" s="320"/>
      <c r="F79" s="217" t="s">
        <v>236</v>
      </c>
      <c r="G79" s="161" t="s">
        <v>3</v>
      </c>
      <c r="H79" s="244">
        <f t="shared" ref="H79:H80" si="0">H77</f>
        <v>12.291525423728814</v>
      </c>
      <c r="I79" s="155"/>
      <c r="J79" s="143"/>
      <c r="K79" s="205" t="s">
        <v>243</v>
      </c>
      <c r="P79" s="2"/>
      <c r="Q79" s="104"/>
      <c r="R79" s="2"/>
    </row>
    <row r="80" spans="1:18" ht="18.75">
      <c r="A80" s="324"/>
      <c r="B80" s="325"/>
      <c r="C80" s="319" t="s">
        <v>72</v>
      </c>
      <c r="D80" s="284"/>
      <c r="E80" s="320"/>
      <c r="F80" s="217" t="s">
        <v>237</v>
      </c>
      <c r="G80" s="161" t="s">
        <v>3</v>
      </c>
      <c r="H80" s="244">
        <f t="shared" si="0"/>
        <v>18.437288135593221</v>
      </c>
      <c r="I80" s="155"/>
      <c r="J80" s="143"/>
      <c r="K80" s="205" t="s">
        <v>244</v>
      </c>
      <c r="L80" s="8"/>
      <c r="M80" s="8"/>
      <c r="N80" s="8"/>
      <c r="P80" s="2"/>
      <c r="Q80" s="104"/>
      <c r="R80" s="2"/>
    </row>
    <row r="81" spans="1:19" ht="18.75" customHeight="1">
      <c r="A81" s="305"/>
      <c r="B81" s="309"/>
      <c r="C81" s="316" t="s">
        <v>72</v>
      </c>
      <c r="D81" s="293"/>
      <c r="E81" s="317"/>
      <c r="F81" s="217" t="s">
        <v>249</v>
      </c>
      <c r="G81" s="158" t="s">
        <v>3</v>
      </c>
      <c r="H81" s="244">
        <f>H79+$B16</f>
        <v>12.291525423728814</v>
      </c>
      <c r="I81" s="201"/>
      <c r="J81" s="143"/>
      <c r="K81" s="205" t="s">
        <v>245</v>
      </c>
      <c r="L81" s="45"/>
      <c r="N81" s="8"/>
      <c r="P81" s="2"/>
      <c r="Q81" s="104"/>
      <c r="R81" s="2"/>
    </row>
    <row r="82" spans="1:19" ht="18.75" customHeight="1">
      <c r="A82" s="318"/>
      <c r="B82" s="317"/>
      <c r="C82" s="316" t="s">
        <v>72</v>
      </c>
      <c r="D82" s="293"/>
      <c r="E82" s="317"/>
      <c r="F82" s="224" t="s">
        <v>127</v>
      </c>
      <c r="G82" s="158" t="s">
        <v>3</v>
      </c>
      <c r="H82" s="244">
        <f>H81-B15</f>
        <v>12.291525423728814</v>
      </c>
      <c r="I82" s="5"/>
      <c r="J82" s="141"/>
      <c r="K82" s="205" t="s">
        <v>246</v>
      </c>
      <c r="L82" s="2"/>
      <c r="M82" s="2"/>
      <c r="N82" s="8"/>
      <c r="P82" s="2"/>
      <c r="Q82" s="104"/>
      <c r="R82" s="2"/>
    </row>
    <row r="83" spans="1:19" ht="18.75">
      <c r="A83" s="326"/>
      <c r="B83" s="327"/>
      <c r="C83" s="328" t="s">
        <v>72</v>
      </c>
      <c r="D83" s="329"/>
      <c r="E83" s="327"/>
      <c r="F83" s="224" t="s">
        <v>128</v>
      </c>
      <c r="G83" s="158" t="s">
        <v>3</v>
      </c>
      <c r="H83" s="244">
        <f>H80</f>
        <v>18.437288135593221</v>
      </c>
      <c r="I83" s="5"/>
      <c r="J83" s="141"/>
      <c r="K83" s="205" t="s">
        <v>247</v>
      </c>
      <c r="L83" s="2"/>
      <c r="M83" s="2"/>
      <c r="N83" s="168"/>
      <c r="P83" s="2"/>
      <c r="Q83" s="104"/>
      <c r="R83" s="2"/>
    </row>
    <row r="84" spans="1:19" ht="19.5">
      <c r="A84" s="330" t="s">
        <v>163</v>
      </c>
      <c r="B84" s="331"/>
      <c r="C84" s="332"/>
      <c r="D84" s="333"/>
      <c r="E84" s="334"/>
      <c r="F84" s="225" t="s">
        <v>129</v>
      </c>
      <c r="G84" s="160" t="s">
        <v>3</v>
      </c>
      <c r="H84" s="246">
        <f>F27</f>
        <v>19.5</v>
      </c>
      <c r="I84" s="5"/>
      <c r="J84" s="141"/>
      <c r="L84" s="2"/>
      <c r="M84" s="2"/>
    </row>
    <row r="85" spans="1:19" ht="19.5">
      <c r="A85" s="324"/>
      <c r="B85" s="325"/>
      <c r="C85" s="335"/>
      <c r="D85" s="289"/>
      <c r="E85" s="325"/>
      <c r="F85" s="216" t="s">
        <v>130</v>
      </c>
      <c r="G85" s="161" t="s">
        <v>3</v>
      </c>
      <c r="H85" s="67">
        <f>D27</f>
        <v>49</v>
      </c>
      <c r="I85" s="5"/>
      <c r="J85" s="141"/>
      <c r="L85" s="6"/>
      <c r="M85" s="2"/>
      <c r="N85" s="8"/>
      <c r="P85" s="2"/>
      <c r="Q85" s="104"/>
      <c r="R85" s="2"/>
    </row>
    <row r="86" spans="1:19" ht="18.75">
      <c r="A86" s="324"/>
      <c r="B86" s="325"/>
      <c r="C86" s="319" t="s">
        <v>116</v>
      </c>
      <c r="D86" s="284"/>
      <c r="E86" s="320"/>
      <c r="F86" s="216"/>
      <c r="G86" s="161"/>
      <c r="H86" s="247">
        <f>H84/H85</f>
        <v>0.39795918367346939</v>
      </c>
      <c r="I86" s="201" t="s">
        <v>110</v>
      </c>
      <c r="J86" s="143"/>
      <c r="L86" s="6"/>
      <c r="M86" s="2"/>
      <c r="N86" s="8"/>
      <c r="P86" s="2"/>
      <c r="Q86" s="104"/>
      <c r="R86" s="2"/>
    </row>
    <row r="87" spans="1:19" ht="18.75" customHeight="1">
      <c r="A87" s="324"/>
      <c r="B87" s="325"/>
      <c r="C87" s="316" t="s">
        <v>70</v>
      </c>
      <c r="D87" s="293"/>
      <c r="E87" s="317"/>
      <c r="F87" s="223" t="s">
        <v>124</v>
      </c>
      <c r="G87" s="159" t="s">
        <v>38</v>
      </c>
      <c r="H87" s="248">
        <f>IF(H86&gt;0.35,IF(H86&lt;=0.6,0.5+0.83*POWER(POWER((H86-0.35),2),(1/3)),"Error"),0.5)</f>
        <v>0.60956183073653469</v>
      </c>
      <c r="I87" s="201" t="s">
        <v>110</v>
      </c>
      <c r="J87" s="143"/>
      <c r="M87" s="2"/>
      <c r="N87" s="8"/>
      <c r="P87" s="2"/>
      <c r="Q87" s="104"/>
      <c r="R87" s="2"/>
    </row>
    <row r="88" spans="1:19" ht="16.5" customHeight="1">
      <c r="A88" s="324"/>
      <c r="B88" s="325"/>
      <c r="C88" s="335"/>
      <c r="D88" s="289"/>
      <c r="E88" s="325"/>
      <c r="F88" s="217" t="s">
        <v>9</v>
      </c>
      <c r="G88" s="159" t="s">
        <v>38</v>
      </c>
      <c r="H88" s="247">
        <f>SQRT(235/B7)</f>
        <v>0.81940745141142779</v>
      </c>
      <c r="I88" s="201" t="s">
        <v>59</v>
      </c>
      <c r="J88" s="143"/>
      <c r="L88" s="6"/>
      <c r="M88" s="2"/>
      <c r="N88" s="8"/>
      <c r="P88" s="2"/>
      <c r="Q88" s="104"/>
      <c r="R88" s="2"/>
    </row>
    <row r="89" spans="1:19" ht="17.25" customHeight="1">
      <c r="A89" s="324"/>
      <c r="B89" s="325"/>
      <c r="C89" s="335"/>
      <c r="D89" s="289"/>
      <c r="E89" s="325"/>
      <c r="G89" s="161" t="s">
        <v>3</v>
      </c>
      <c r="H89" s="67">
        <f>F27</f>
        <v>19.5</v>
      </c>
      <c r="I89" s="5"/>
      <c r="J89" s="141"/>
      <c r="L89" s="6"/>
      <c r="M89" s="2"/>
      <c r="N89" s="8"/>
      <c r="P89" s="2"/>
      <c r="Q89" s="104"/>
      <c r="R89" s="2"/>
    </row>
    <row r="90" spans="1:19" ht="17.25" customHeight="1">
      <c r="A90" s="324"/>
      <c r="B90" s="325"/>
      <c r="C90" s="319" t="s">
        <v>40</v>
      </c>
      <c r="D90" s="284"/>
      <c r="E90" s="320"/>
      <c r="G90" s="162" t="s">
        <v>38</v>
      </c>
      <c r="H90" s="245">
        <f>(H89/G7)/(28.4*H88*SQRT(H87))</f>
        <v>1.073266267958731</v>
      </c>
      <c r="I90" s="201" t="s">
        <v>61</v>
      </c>
      <c r="J90" s="143"/>
      <c r="L90" s="6"/>
      <c r="M90" s="2"/>
      <c r="N90" s="8"/>
      <c r="P90" s="2"/>
      <c r="Q90" s="107"/>
      <c r="R90" s="2"/>
      <c r="S90" s="2"/>
    </row>
    <row r="91" spans="1:19" ht="18.75">
      <c r="A91" s="324"/>
      <c r="B91" s="325"/>
      <c r="C91" s="321" t="s">
        <v>155</v>
      </c>
      <c r="D91" s="322"/>
      <c r="E91" s="323"/>
      <c r="F91" s="224" t="s">
        <v>192</v>
      </c>
      <c r="G91" s="231" t="s">
        <v>56</v>
      </c>
      <c r="H91" s="244">
        <f>B7/H90^2</f>
        <v>303.84569282506766</v>
      </c>
      <c r="I91" s="201"/>
      <c r="J91" s="143"/>
      <c r="K91" s="205" t="s">
        <v>238</v>
      </c>
      <c r="L91" s="6"/>
      <c r="M91" s="2"/>
      <c r="N91" s="8"/>
      <c r="P91" s="2"/>
      <c r="Q91" s="107"/>
      <c r="R91" s="2"/>
      <c r="S91" s="2"/>
    </row>
    <row r="92" spans="1:19" ht="18.75" customHeight="1">
      <c r="A92" s="336"/>
      <c r="B92" s="320"/>
      <c r="C92" s="319" t="s">
        <v>71</v>
      </c>
      <c r="D92" s="284"/>
      <c r="E92" s="320"/>
      <c r="F92" s="226" t="s">
        <v>10</v>
      </c>
      <c r="G92" s="162" t="s">
        <v>38</v>
      </c>
      <c r="H92" s="247">
        <f>IF(H90&gt;0.748,IF((H90-0.188)/POWER(H90,2)&gt;1,1,(H90-0.188)/POWER(H90,2)),1)</f>
        <v>0.76852669292166464</v>
      </c>
      <c r="I92" s="201" t="s">
        <v>59</v>
      </c>
      <c r="J92" s="143"/>
      <c r="K92" s="235"/>
      <c r="L92" s="2"/>
      <c r="M92" s="2"/>
      <c r="N92" s="2"/>
      <c r="P92" s="2"/>
      <c r="Q92" s="104"/>
      <c r="R92" s="2"/>
      <c r="S92" s="2"/>
    </row>
    <row r="93" spans="1:19" ht="18.75" customHeight="1">
      <c r="A93" s="324"/>
      <c r="B93" s="325"/>
      <c r="C93" s="316" t="s">
        <v>39</v>
      </c>
      <c r="D93" s="293"/>
      <c r="E93" s="317"/>
      <c r="F93" s="217" t="s">
        <v>16</v>
      </c>
      <c r="G93" s="161" t="s">
        <v>3</v>
      </c>
      <c r="H93" s="67">
        <f>H92*$H84</f>
        <v>14.98627051197246</v>
      </c>
      <c r="I93" s="201" t="s">
        <v>110</v>
      </c>
      <c r="J93" s="143"/>
      <c r="K93" s="205" t="s">
        <v>250</v>
      </c>
      <c r="L93" s="2"/>
      <c r="M93" s="2"/>
      <c r="N93" s="2"/>
      <c r="P93" s="2"/>
      <c r="Q93" s="104"/>
      <c r="R93" s="2"/>
      <c r="S93" s="2"/>
    </row>
    <row r="94" spans="1:19" ht="18.75">
      <c r="A94" s="324"/>
      <c r="B94" s="325"/>
      <c r="C94" s="316" t="s">
        <v>72</v>
      </c>
      <c r="D94" s="293"/>
      <c r="E94" s="317"/>
      <c r="F94" s="217" t="s">
        <v>131</v>
      </c>
      <c r="G94" s="161" t="s">
        <v>3</v>
      </c>
      <c r="H94" s="67">
        <f>H93+$B16</f>
        <v>14.98627051197246</v>
      </c>
      <c r="I94" s="201"/>
      <c r="J94" s="143"/>
      <c r="K94" s="205" t="s">
        <v>251</v>
      </c>
      <c r="L94" s="2"/>
      <c r="M94" s="2"/>
      <c r="P94" s="2"/>
      <c r="Q94" s="104"/>
      <c r="R94" s="2"/>
      <c r="S94" s="2"/>
    </row>
    <row r="95" spans="1:19" ht="18.75">
      <c r="A95" s="347"/>
      <c r="B95" s="348"/>
      <c r="C95" s="328" t="s">
        <v>72</v>
      </c>
      <c r="D95" s="329"/>
      <c r="E95" s="327"/>
      <c r="F95" s="217" t="s">
        <v>121</v>
      </c>
      <c r="G95" s="161" t="s">
        <v>3</v>
      </c>
      <c r="H95" s="67">
        <f>H94-$B15</f>
        <v>14.98627051197246</v>
      </c>
      <c r="I95" s="201"/>
      <c r="J95" s="143"/>
      <c r="K95" s="205" t="s">
        <v>252</v>
      </c>
      <c r="L95" s="2"/>
      <c r="M95" s="8"/>
      <c r="P95" s="2"/>
      <c r="Q95" s="104"/>
      <c r="R95" s="2"/>
      <c r="S95" s="2"/>
    </row>
    <row r="96" spans="1:19" ht="18.75" customHeight="1">
      <c r="A96" s="349" t="s">
        <v>28</v>
      </c>
      <c r="B96" s="350"/>
      <c r="C96" s="302" t="s">
        <v>42</v>
      </c>
      <c r="D96" s="303"/>
      <c r="E96" s="304"/>
      <c r="F96" s="227" t="s">
        <v>132</v>
      </c>
      <c r="G96" s="163" t="s">
        <v>3</v>
      </c>
      <c r="H96" s="249">
        <f>((($B17*($B15-$B18))+(H95*((0.5*H95)+$B15)))*$G7)/H103</f>
        <v>4.1166871470739572</v>
      </c>
      <c r="I96" s="5"/>
      <c r="J96" s="141"/>
      <c r="K96" s="205" t="s">
        <v>263</v>
      </c>
      <c r="L96" s="2"/>
      <c r="M96" s="8"/>
      <c r="P96" s="95"/>
      <c r="Q96" s="2"/>
      <c r="R96" s="2"/>
      <c r="S96" s="2"/>
    </row>
    <row r="97" spans="1:19" ht="18.75">
      <c r="A97" s="318"/>
      <c r="B97" s="317"/>
      <c r="C97" s="316" t="s">
        <v>42</v>
      </c>
      <c r="D97" s="293"/>
      <c r="E97" s="317"/>
      <c r="F97" s="224" t="s">
        <v>133</v>
      </c>
      <c r="G97" s="158" t="s">
        <v>3</v>
      </c>
      <c r="H97" s="250">
        <f>((($B17*($B15-$B18))+(H82*((0.5*H82)+$B15)))*$G7)/H103</f>
        <v>2.7693146029521336</v>
      </c>
      <c r="I97" s="5"/>
      <c r="J97" s="141"/>
      <c r="K97" s="205" t="s">
        <v>264</v>
      </c>
      <c r="L97" s="6"/>
      <c r="M97" s="8"/>
      <c r="P97" s="95"/>
      <c r="Q97" s="2"/>
      <c r="R97" s="2"/>
      <c r="S97" s="2"/>
    </row>
    <row r="98" spans="1:19" ht="18.75">
      <c r="A98" s="318"/>
      <c r="B98" s="317"/>
      <c r="C98" s="316" t="s">
        <v>42</v>
      </c>
      <c r="D98" s="293"/>
      <c r="E98" s="317"/>
      <c r="F98" s="224" t="s">
        <v>134</v>
      </c>
      <c r="G98" s="158" t="s">
        <v>3</v>
      </c>
      <c r="H98" s="250">
        <f>$D$27+2*$B$16-H97</f>
        <v>46.230685397047864</v>
      </c>
      <c r="I98" s="5"/>
      <c r="J98" s="141"/>
      <c r="K98" s="205" t="s">
        <v>253</v>
      </c>
      <c r="L98" s="95"/>
      <c r="M98" s="104"/>
      <c r="N98" s="104"/>
      <c r="O98" s="104"/>
      <c r="P98" s="95"/>
      <c r="Q98" s="2"/>
      <c r="R98" s="2"/>
      <c r="S98" s="2"/>
    </row>
    <row r="99" spans="1:19" ht="18.75">
      <c r="A99" s="318"/>
      <c r="B99" s="317"/>
      <c r="C99" s="316" t="s">
        <v>42</v>
      </c>
      <c r="D99" s="293"/>
      <c r="E99" s="317"/>
      <c r="F99" s="224" t="s">
        <v>135</v>
      </c>
      <c r="G99" s="158" t="s">
        <v>3</v>
      </c>
      <c r="H99" s="250">
        <f>H98</f>
        <v>46.230685397047864</v>
      </c>
      <c r="I99" s="5"/>
      <c r="J99" s="141"/>
      <c r="K99" s="205" t="s">
        <v>254</v>
      </c>
      <c r="L99" s="95"/>
      <c r="M99" s="104"/>
      <c r="N99" s="104"/>
      <c r="O99" s="104"/>
      <c r="P99" s="95"/>
      <c r="Q99" s="2"/>
      <c r="R99" s="2"/>
      <c r="S99" s="2"/>
    </row>
    <row r="100" spans="1:19" ht="18.75">
      <c r="A100" s="305"/>
      <c r="B100" s="309"/>
      <c r="C100" s="307"/>
      <c r="D100" s="308"/>
      <c r="E100" s="309"/>
      <c r="F100" s="224" t="s">
        <v>147</v>
      </c>
      <c r="G100" s="159" t="s">
        <v>38</v>
      </c>
      <c r="H100" s="250">
        <v>1</v>
      </c>
      <c r="I100" s="5"/>
      <c r="J100" s="141"/>
      <c r="K100" s="205"/>
      <c r="L100" s="95"/>
      <c r="M100" s="189"/>
      <c r="N100" s="189"/>
      <c r="O100" s="189"/>
      <c r="P100" s="95"/>
      <c r="Q100" s="188"/>
      <c r="R100" s="188"/>
      <c r="S100" s="188"/>
    </row>
    <row r="101" spans="1:19" ht="18.75">
      <c r="A101" s="305"/>
      <c r="B101" s="309"/>
      <c r="C101" s="316" t="s">
        <v>67</v>
      </c>
      <c r="D101" s="293"/>
      <c r="E101" s="317"/>
      <c r="F101" s="224" t="s">
        <v>136</v>
      </c>
      <c r="G101" s="159" t="s">
        <v>38</v>
      </c>
      <c r="H101" s="247">
        <f>(($B4*POWER($G7,3))/(4*(1-POWER($B6,2))))*(1/((POWER(H98,2)*B25)+POWER(H98,3)+(0.5*H98*H99*B25*H100)))</f>
        <v>0.13861902962344477</v>
      </c>
      <c r="I101" s="201" t="s">
        <v>64</v>
      </c>
      <c r="J101" s="143"/>
      <c r="K101" s="235"/>
      <c r="M101" s="95"/>
      <c r="N101" s="8"/>
      <c r="O101" s="96"/>
      <c r="P101" s="95"/>
      <c r="Q101" s="2"/>
      <c r="R101" s="2"/>
      <c r="S101" s="2"/>
    </row>
    <row r="102" spans="1:19" ht="18.75">
      <c r="A102" s="318"/>
      <c r="B102" s="317"/>
      <c r="C102" s="316" t="s">
        <v>43</v>
      </c>
      <c r="D102" s="293"/>
      <c r="E102" s="317"/>
      <c r="F102" s="224" t="s">
        <v>137</v>
      </c>
      <c r="G102" s="158" t="s">
        <v>18</v>
      </c>
      <c r="H102" s="251">
        <f>(H82*$G7*POWER(H96,2))+$B19+($B17*$G7*POWER((H96-($B15-$B18)),2))+((1/12)*POWER(H95,3)*$G7)+(H95*$G7*POWER(($B15+(0.5*H95)-H96),2))</f>
        <v>659.63379987604583</v>
      </c>
      <c r="I102" s="256"/>
      <c r="K102" s="205" t="s">
        <v>265</v>
      </c>
      <c r="M102" s="95"/>
      <c r="N102" s="104"/>
      <c r="O102" s="104"/>
      <c r="P102" s="95"/>
      <c r="Q102" s="2"/>
      <c r="R102" s="2"/>
      <c r="S102" s="2"/>
    </row>
    <row r="103" spans="1:19" ht="18.75">
      <c r="A103" s="305"/>
      <c r="B103" s="309"/>
      <c r="C103" s="316" t="s">
        <v>41</v>
      </c>
      <c r="D103" s="293"/>
      <c r="E103" s="317"/>
      <c r="F103" s="224" t="s">
        <v>138</v>
      </c>
      <c r="G103" s="158" t="s">
        <v>55</v>
      </c>
      <c r="H103" s="250">
        <f>(H82+$B17+H95)*$G7</f>
        <v>27.277795935701274</v>
      </c>
      <c r="I103" s="256"/>
      <c r="K103" s="205" t="s">
        <v>266</v>
      </c>
      <c r="M103" s="95"/>
      <c r="N103" s="104"/>
      <c r="O103" s="104"/>
      <c r="P103" s="95"/>
      <c r="Q103" s="2"/>
      <c r="R103" s="2"/>
      <c r="S103" s="2"/>
    </row>
    <row r="104" spans="1:19" ht="18.75">
      <c r="A104" s="318"/>
      <c r="B104" s="317"/>
      <c r="C104" s="316" t="s">
        <v>44</v>
      </c>
      <c r="D104" s="293"/>
      <c r="E104" s="317"/>
      <c r="F104" s="224" t="s">
        <v>139</v>
      </c>
      <c r="G104" s="158" t="s">
        <v>56</v>
      </c>
      <c r="H104" s="250">
        <f>(2*SQRT(H101*$B4*H102))/H103</f>
        <v>321.28706745765146</v>
      </c>
      <c r="I104" s="201" t="s">
        <v>60</v>
      </c>
      <c r="J104" s="143"/>
      <c r="K104" s="205"/>
      <c r="M104" s="95"/>
      <c r="N104" s="104"/>
      <c r="O104" s="104"/>
      <c r="P104" s="95"/>
      <c r="Q104" s="2"/>
      <c r="R104" s="2"/>
      <c r="S104" s="2"/>
    </row>
    <row r="105" spans="1:19" ht="17.25" customHeight="1">
      <c r="A105" s="305"/>
      <c r="B105" s="309"/>
      <c r="C105" s="316" t="s">
        <v>73</v>
      </c>
      <c r="D105" s="293"/>
      <c r="E105" s="317"/>
      <c r="G105" s="159" t="s">
        <v>38</v>
      </c>
      <c r="H105" s="247">
        <f>SQRT($B7/H104)</f>
        <v>1.043728157402148</v>
      </c>
      <c r="I105" s="201" t="s">
        <v>63</v>
      </c>
      <c r="J105" s="143"/>
      <c r="K105" s="205"/>
      <c r="M105" s="95"/>
      <c r="N105" s="104"/>
      <c r="O105" s="104"/>
      <c r="P105" s="95"/>
      <c r="Q105" s="2"/>
      <c r="R105" s="2"/>
      <c r="S105" s="2"/>
    </row>
    <row r="106" spans="1:19" ht="18.75">
      <c r="A106" s="318"/>
      <c r="B106" s="317"/>
      <c r="C106" s="316" t="s">
        <v>45</v>
      </c>
      <c r="D106" s="293"/>
      <c r="E106" s="317"/>
      <c r="F106" s="224" t="s">
        <v>272</v>
      </c>
      <c r="G106" s="159" t="s">
        <v>38</v>
      </c>
      <c r="H106" s="252">
        <f>IF(H105&gt;0.65,IF(H105&lt;1.38,1.47-0.723*H105,0.66/H105),1)</f>
        <v>0.71538454219824699</v>
      </c>
      <c r="I106" s="201" t="s">
        <v>63</v>
      </c>
      <c r="J106" s="143"/>
      <c r="K106" s="205"/>
      <c r="L106" s="5"/>
      <c r="M106" s="95"/>
      <c r="P106" s="95"/>
      <c r="Q106" s="2"/>
      <c r="R106" s="2"/>
      <c r="S106" s="2"/>
    </row>
    <row r="107" spans="1:19" ht="18.75">
      <c r="A107" s="305"/>
      <c r="B107" s="309"/>
      <c r="C107" s="344"/>
      <c r="D107" s="345"/>
      <c r="E107" s="346"/>
      <c r="F107" s="224" t="s">
        <v>140</v>
      </c>
      <c r="G107" s="158" t="s">
        <v>56</v>
      </c>
      <c r="H107" s="67">
        <f>(D25-E33-H97)/(D25-E33)*B7/B8</f>
        <v>318.45761359571895</v>
      </c>
      <c r="I107" s="256"/>
      <c r="K107" s="205" t="s">
        <v>255</v>
      </c>
      <c r="M107" s="95"/>
      <c r="N107" s="6"/>
      <c r="O107" s="96"/>
      <c r="P107" s="95"/>
      <c r="Q107" s="2"/>
      <c r="R107" s="2"/>
      <c r="S107" s="2"/>
    </row>
    <row r="108" spans="1:19" ht="18.75" customHeight="1">
      <c r="A108" s="305"/>
      <c r="B108" s="309"/>
      <c r="C108" s="316" t="s">
        <v>66</v>
      </c>
      <c r="D108" s="293"/>
      <c r="E108" s="317"/>
      <c r="F108" s="226" t="s">
        <v>17</v>
      </c>
      <c r="G108" s="164" t="s">
        <v>8</v>
      </c>
      <c r="H108" s="67">
        <f>IF(H106*H103*(($B7/$B8)/H107)&gt;H103,H103,H106*H103*(($B7/$B8)/H107))</f>
        <v>21.446935019252486</v>
      </c>
      <c r="I108" s="201" t="s">
        <v>62</v>
      </c>
      <c r="J108" s="143"/>
      <c r="K108" s="260" t="s">
        <v>267</v>
      </c>
      <c r="M108" s="95"/>
      <c r="N108" s="104"/>
      <c r="O108" s="96"/>
      <c r="P108" s="95"/>
      <c r="Q108" s="2"/>
      <c r="R108" s="2"/>
      <c r="S108" s="2"/>
    </row>
    <row r="109" spans="1:19" ht="18.75" customHeight="1">
      <c r="A109" s="305"/>
      <c r="B109" s="309"/>
      <c r="C109" s="316" t="s">
        <v>46</v>
      </c>
      <c r="D109" s="293"/>
      <c r="E109" s="317"/>
      <c r="F109" s="224" t="s">
        <v>122</v>
      </c>
      <c r="G109" s="158" t="s">
        <v>3</v>
      </c>
      <c r="H109" s="250">
        <f>($G7*H108)/H103</f>
        <v>0.78624149362385476</v>
      </c>
      <c r="I109" s="201" t="s">
        <v>111</v>
      </c>
      <c r="J109" s="143"/>
      <c r="K109" s="260" t="s">
        <v>268</v>
      </c>
      <c r="M109" s="95"/>
      <c r="N109" s="104"/>
      <c r="O109" s="96"/>
      <c r="P109" s="95"/>
      <c r="Q109" s="2"/>
      <c r="R109" s="2"/>
      <c r="S109" s="2"/>
    </row>
    <row r="110" spans="1:19" ht="18.75" customHeight="1" thickBot="1">
      <c r="A110" s="357" t="s">
        <v>275</v>
      </c>
      <c r="B110" s="351"/>
      <c r="C110" s="356"/>
      <c r="D110" s="352"/>
      <c r="E110" s="352"/>
      <c r="F110" s="353"/>
      <c r="G110" s="354"/>
      <c r="H110" s="355"/>
      <c r="I110" s="201"/>
      <c r="J110" s="143"/>
      <c r="K110" s="260"/>
      <c r="M110" s="95"/>
      <c r="N110" s="268"/>
      <c r="O110" s="96"/>
      <c r="P110" s="95"/>
      <c r="Q110" s="267"/>
      <c r="R110" s="267"/>
      <c r="S110" s="267"/>
    </row>
    <row r="111" spans="1:19" ht="15.75" thickBot="1">
      <c r="A111" s="232"/>
      <c r="B111" s="232"/>
      <c r="C111" s="229"/>
      <c r="D111" s="229"/>
      <c r="E111" s="229"/>
      <c r="F111" s="229"/>
      <c r="G111" s="165"/>
      <c r="H111" s="255"/>
      <c r="I111" s="201"/>
      <c r="J111" s="143"/>
      <c r="K111" s="260"/>
      <c r="M111" s="95"/>
      <c r="N111" s="189"/>
      <c r="O111" s="96"/>
      <c r="P111" s="95"/>
      <c r="Q111" s="188"/>
      <c r="R111" s="188"/>
      <c r="S111" s="188"/>
    </row>
    <row r="112" spans="1:19" ht="18.75" customHeight="1" thickBot="1">
      <c r="A112" s="266" t="s">
        <v>191</v>
      </c>
      <c r="B112" s="219"/>
      <c r="C112" s="219"/>
      <c r="D112" s="219"/>
      <c r="E112" s="219"/>
      <c r="F112" s="219"/>
      <c r="G112" s="220"/>
      <c r="H112" s="221"/>
      <c r="I112" s="201"/>
      <c r="J112" s="143"/>
      <c r="K112" s="260"/>
      <c r="M112" s="95"/>
      <c r="N112" s="189"/>
      <c r="O112" s="96"/>
      <c r="P112" s="95"/>
      <c r="Q112" s="188"/>
      <c r="R112" s="188"/>
      <c r="S112" s="188"/>
    </row>
    <row r="113" spans="1:19" ht="18.75" customHeight="1">
      <c r="A113" s="300" t="s">
        <v>51</v>
      </c>
      <c r="B113" s="301"/>
      <c r="C113" s="302" t="s">
        <v>41</v>
      </c>
      <c r="D113" s="303"/>
      <c r="E113" s="304"/>
      <c r="F113" s="227" t="s">
        <v>141</v>
      </c>
      <c r="G113" s="163" t="s">
        <v>55</v>
      </c>
      <c r="H113" s="246">
        <f>((B26+2*(H83+H74)+2*B17)*G7)+(H95+H82+B17)*2*H109</f>
        <v>215.31081919104736</v>
      </c>
      <c r="I113" s="5"/>
      <c r="J113" s="141"/>
      <c r="K113" s="205" t="s">
        <v>256</v>
      </c>
      <c r="M113" s="95"/>
      <c r="N113" s="104"/>
      <c r="O113" s="104"/>
      <c r="P113" s="95"/>
      <c r="Q113" s="2"/>
      <c r="R113" s="2"/>
      <c r="S113" s="2"/>
    </row>
    <row r="114" spans="1:19" ht="18.75">
      <c r="A114" s="282" t="s">
        <v>47</v>
      </c>
      <c r="B114" s="343"/>
      <c r="C114" s="316" t="s">
        <v>68</v>
      </c>
      <c r="D114" s="293"/>
      <c r="E114" s="317"/>
      <c r="F114" s="224" t="s">
        <v>123</v>
      </c>
      <c r="G114" s="158" t="s">
        <v>3</v>
      </c>
      <c r="H114" s="250">
        <f>((G7/H113)*(((2*B17)*(B15-B18))+((2*(H83+H74))*((0.5*(H83+H74))+B15))))+((H109/H113)*(((2*H82)*(D25-((0.5*H82)+B15)))+((2*B17)*(D26+B15+B18))+(2*H95*D25)))</f>
        <v>15.46845220988882</v>
      </c>
      <c r="I114" s="5"/>
      <c r="J114" s="141"/>
      <c r="K114" s="261" t="s">
        <v>269</v>
      </c>
      <c r="L114" s="140"/>
      <c r="N114" s="2"/>
      <c r="O114" s="2"/>
      <c r="P114" s="2"/>
      <c r="Q114" s="2"/>
      <c r="R114" s="2"/>
      <c r="S114" s="2"/>
    </row>
    <row r="115" spans="1:19" ht="18.75">
      <c r="A115" s="230"/>
      <c r="B115" s="232"/>
      <c r="C115" s="337" t="s">
        <v>76</v>
      </c>
      <c r="D115" s="338"/>
      <c r="E115" s="339"/>
      <c r="F115" s="217" t="s">
        <v>82</v>
      </c>
      <c r="G115" s="165" t="s">
        <v>18</v>
      </c>
      <c r="H115" s="253">
        <f>B26*G7*H114^2</f>
        <v>23688.028363191817</v>
      </c>
      <c r="I115" s="5"/>
      <c r="J115" s="141"/>
      <c r="K115" s="205" t="s">
        <v>257</v>
      </c>
      <c r="M115" s="141"/>
    </row>
    <row r="116" spans="1:19" ht="18.75" customHeight="1">
      <c r="A116" s="230"/>
      <c r="B116" s="232"/>
      <c r="C116" s="337" t="s">
        <v>77</v>
      </c>
      <c r="D116" s="338"/>
      <c r="E116" s="339"/>
      <c r="F116" s="217" t="s">
        <v>83</v>
      </c>
      <c r="G116" s="165" t="s">
        <v>18</v>
      </c>
      <c r="H116" s="253">
        <f>(2/12)*(H83+H74)^3*G7+2*(H83+H74)*(0.5*(H83+H74)+B15-H114)^2*G7+(2/12)*H82^3*H109+2*H82*(D25-0.5*H82-B15-H114)^2*H109</f>
        <v>23594.726906077998</v>
      </c>
      <c r="I116" s="5"/>
      <c r="J116" s="141"/>
      <c r="K116" s="205" t="s">
        <v>258</v>
      </c>
      <c r="M116" s="141"/>
    </row>
    <row r="117" spans="1:19" ht="18.75">
      <c r="A117" s="230"/>
      <c r="B117" s="232"/>
      <c r="C117" s="337" t="s">
        <v>78</v>
      </c>
      <c r="D117" s="338"/>
      <c r="E117" s="339"/>
      <c r="F117" s="217" t="s">
        <v>84</v>
      </c>
      <c r="G117" s="165" t="s">
        <v>18</v>
      </c>
      <c r="H117" s="253">
        <f>2*H95*(D25-H114)^2*H109</f>
        <v>26496.391023303149</v>
      </c>
      <c r="I117" s="5"/>
      <c r="J117" s="141"/>
      <c r="K117" s="205" t="s">
        <v>259</v>
      </c>
      <c r="L117" s="141"/>
      <c r="M117" s="141"/>
    </row>
    <row r="118" spans="1:19" ht="18.75">
      <c r="A118" s="230"/>
      <c r="B118" s="232"/>
      <c r="C118" s="337" t="s">
        <v>79</v>
      </c>
      <c r="D118" s="338"/>
      <c r="E118" s="339"/>
      <c r="F118" s="217" t="s">
        <v>85</v>
      </c>
      <c r="G118" s="165" t="s">
        <v>18</v>
      </c>
      <c r="H118" s="253">
        <f>2*B19+2*B19*H109/G7+2*B17*G7*(H114-(B15-B18))^2+2*B17*H109*(D26+B15+B18-H114)^2</f>
        <v>0</v>
      </c>
      <c r="I118" s="5"/>
      <c r="J118" s="141"/>
      <c r="K118" s="205" t="s">
        <v>270</v>
      </c>
      <c r="L118" s="141"/>
      <c r="M118" s="141"/>
      <c r="O118" s="25"/>
    </row>
    <row r="119" spans="1:19" ht="18.75">
      <c r="A119" s="230"/>
      <c r="B119" s="232"/>
      <c r="C119" s="337" t="s">
        <v>112</v>
      </c>
      <c r="D119" s="338"/>
      <c r="E119" s="339"/>
      <c r="F119" s="217" t="s">
        <v>86</v>
      </c>
      <c r="G119" s="165" t="s">
        <v>18</v>
      </c>
      <c r="H119" s="253">
        <f>SUM(H115:H118)</f>
        <v>73779.146292572957</v>
      </c>
      <c r="I119" s="256"/>
      <c r="K119" s="205" t="s">
        <v>260</v>
      </c>
      <c r="L119" s="141"/>
      <c r="M119" s="141"/>
    </row>
    <row r="120" spans="1:19" ht="18.75">
      <c r="A120" s="230"/>
      <c r="B120" s="232"/>
      <c r="C120" s="337" t="s">
        <v>80</v>
      </c>
      <c r="D120" s="338"/>
      <c r="E120" s="339"/>
      <c r="F120" s="217" t="s">
        <v>87</v>
      </c>
      <c r="G120" s="165" t="s">
        <v>89</v>
      </c>
      <c r="H120" s="253">
        <f>H119/(D25-H114+(G7/2))</f>
        <v>2167.9632894631836</v>
      </c>
      <c r="I120" s="5"/>
      <c r="J120" s="141"/>
      <c r="K120" s="205" t="s">
        <v>261</v>
      </c>
      <c r="L120" s="142"/>
      <c r="M120" s="142"/>
      <c r="N120" s="142"/>
      <c r="O120" s="142"/>
    </row>
    <row r="121" spans="1:19" ht="19.5" thickBot="1">
      <c r="A121" s="125"/>
      <c r="B121" s="126"/>
      <c r="C121" s="340" t="s">
        <v>81</v>
      </c>
      <c r="D121" s="341"/>
      <c r="E121" s="342"/>
      <c r="F121" s="218" t="s">
        <v>88</v>
      </c>
      <c r="G121" s="166" t="s">
        <v>89</v>
      </c>
      <c r="H121" s="254">
        <f>H119/(H114+(G7/2))</f>
        <v>4620.3066723576112</v>
      </c>
      <c r="I121" s="5"/>
      <c r="J121" s="141"/>
      <c r="K121" s="205" t="s">
        <v>262</v>
      </c>
      <c r="L121" s="8"/>
      <c r="M121" s="8"/>
      <c r="N121" s="8"/>
      <c r="O121" s="8"/>
    </row>
    <row r="122" spans="1:19" ht="18.75" customHeight="1">
      <c r="A122" s="95"/>
      <c r="B122" s="95"/>
      <c r="C122" s="95"/>
      <c r="D122" s="95"/>
      <c r="E122" s="95"/>
      <c r="F122" s="2"/>
      <c r="I122" s="5"/>
      <c r="J122" s="5"/>
      <c r="K122" s="20"/>
      <c r="L122" s="6"/>
      <c r="M122" s="6"/>
      <c r="N122" s="2"/>
      <c r="O122" s="2"/>
    </row>
    <row r="123" spans="1:19" ht="18.75" customHeight="1">
      <c r="A123" s="112"/>
      <c r="B123" s="8"/>
      <c r="C123" s="6"/>
      <c r="D123" s="8"/>
      <c r="E123" s="8"/>
      <c r="F123" s="6"/>
      <c r="G123" s="30"/>
      <c r="H123" s="8"/>
      <c r="I123" s="256"/>
      <c r="K123" s="8"/>
      <c r="M123" s="2"/>
      <c r="N123" s="2"/>
      <c r="O123" s="2"/>
      <c r="P123" s="2"/>
      <c r="Q123" s="2"/>
    </row>
    <row r="124" spans="1:19" ht="18.75" customHeight="1">
      <c r="A124" s="113"/>
      <c r="B124" s="8"/>
      <c r="C124" s="6"/>
      <c r="D124" s="8"/>
      <c r="E124" s="8"/>
      <c r="F124" s="6"/>
      <c r="G124" s="30"/>
      <c r="H124" s="8"/>
      <c r="I124" s="8"/>
      <c r="J124" s="8"/>
      <c r="K124" s="114"/>
      <c r="M124" s="2"/>
      <c r="N124" s="2"/>
      <c r="O124" s="2"/>
      <c r="P124" s="2"/>
      <c r="Q124" s="2"/>
    </row>
    <row r="125" spans="1:19" ht="18">
      <c r="A125" s="112"/>
      <c r="B125" s="8"/>
      <c r="C125" s="6"/>
      <c r="D125" s="8"/>
      <c r="E125" s="8"/>
      <c r="F125" s="6"/>
      <c r="G125" s="30"/>
      <c r="H125" s="8"/>
      <c r="I125" s="114"/>
      <c r="J125" s="114"/>
      <c r="K125" s="27"/>
      <c r="M125" s="2"/>
      <c r="N125" s="2"/>
      <c r="O125" s="2"/>
      <c r="P125" s="2"/>
      <c r="Q125" s="2"/>
    </row>
    <row r="126" spans="1:19">
      <c r="A126" s="114"/>
      <c r="B126" s="2"/>
      <c r="C126" s="114"/>
      <c r="D126" s="114"/>
      <c r="E126" s="114"/>
      <c r="F126" s="110"/>
      <c r="G126" s="110"/>
      <c r="H126" s="7"/>
      <c r="I126" s="228"/>
      <c r="J126" s="27"/>
      <c r="K126" s="116"/>
      <c r="M126" s="2"/>
      <c r="N126" s="2"/>
      <c r="O126" s="2"/>
      <c r="P126" s="2"/>
      <c r="Q126" s="2"/>
    </row>
    <row r="127" spans="1:19">
      <c r="A127" s="121"/>
      <c r="B127" s="121"/>
      <c r="C127" s="95"/>
      <c r="D127" s="95"/>
      <c r="E127" s="95"/>
      <c r="F127" s="6"/>
      <c r="G127" s="115"/>
      <c r="H127" s="116"/>
      <c r="I127" s="258"/>
      <c r="J127" s="116"/>
      <c r="K127" s="116"/>
    </row>
    <row r="128" spans="1:19">
      <c r="A128" s="95"/>
      <c r="B128" s="95"/>
      <c r="C128" s="122"/>
      <c r="D128" s="122"/>
      <c r="E128" s="122"/>
      <c r="F128" s="6"/>
      <c r="G128" s="115"/>
      <c r="H128" s="116"/>
      <c r="I128" s="258"/>
      <c r="J128" s="116"/>
      <c r="K128" s="45"/>
    </row>
    <row r="129" spans="1:11">
      <c r="A129" s="95"/>
      <c r="B129" s="95"/>
      <c r="C129" s="95"/>
      <c r="D129" s="95"/>
      <c r="E129" s="95"/>
      <c r="F129" s="107"/>
      <c r="G129" s="96"/>
      <c r="H129" s="45"/>
      <c r="I129" s="45"/>
      <c r="J129" s="45"/>
      <c r="K129" s="117"/>
    </row>
    <row r="130" spans="1:11" ht="18.75" customHeight="1">
      <c r="A130" s="95"/>
      <c r="B130" s="95"/>
      <c r="C130" s="122"/>
      <c r="D130" s="122"/>
      <c r="E130" s="122"/>
      <c r="F130" s="6"/>
      <c r="G130" s="96"/>
      <c r="H130" s="117"/>
      <c r="I130" s="259"/>
      <c r="J130" s="117"/>
      <c r="K130" s="117"/>
    </row>
    <row r="131" spans="1:11">
      <c r="A131" s="95"/>
      <c r="B131" s="95"/>
      <c r="C131" s="123"/>
      <c r="D131" s="123"/>
      <c r="E131" s="123"/>
      <c r="F131" s="6"/>
      <c r="G131" s="96"/>
      <c r="H131" s="117"/>
      <c r="I131" s="117"/>
      <c r="J131" s="117"/>
      <c r="K131" s="117"/>
    </row>
    <row r="132" spans="1:11">
      <c r="A132" s="95"/>
      <c r="B132" s="95"/>
      <c r="C132" s="124"/>
      <c r="D132" s="124"/>
      <c r="E132" s="124"/>
      <c r="F132" s="6"/>
      <c r="G132" s="96"/>
      <c r="H132" s="117"/>
      <c r="I132" s="117"/>
      <c r="J132" s="117"/>
      <c r="K132" s="118"/>
    </row>
    <row r="133" spans="1:11" ht="18.75" customHeight="1">
      <c r="A133" s="95"/>
      <c r="B133" s="95"/>
      <c r="C133" s="95"/>
      <c r="D133" s="95"/>
      <c r="E133" s="95"/>
      <c r="F133" s="6"/>
      <c r="G133" s="96"/>
      <c r="H133" s="118"/>
      <c r="I133" s="118"/>
      <c r="J133" s="118"/>
      <c r="K133" s="119"/>
    </row>
    <row r="134" spans="1:11">
      <c r="A134" s="95"/>
      <c r="B134" s="95"/>
      <c r="C134" s="122"/>
      <c r="D134" s="122"/>
      <c r="E134" s="122"/>
      <c r="F134" s="6"/>
      <c r="G134" s="96"/>
      <c r="H134" s="119"/>
      <c r="I134" s="119"/>
      <c r="J134" s="119"/>
      <c r="K134" s="119"/>
    </row>
    <row r="135" spans="1:11" hidden="1">
      <c r="A135" s="95"/>
      <c r="B135" s="95"/>
      <c r="C135" s="122"/>
      <c r="D135" s="122"/>
      <c r="E135" s="122"/>
      <c r="F135" s="6"/>
      <c r="G135" s="6"/>
      <c r="H135" s="119"/>
      <c r="I135" s="119"/>
      <c r="J135" s="119"/>
      <c r="K135" s="119"/>
    </row>
    <row r="136" spans="1:11">
      <c r="A136" s="95"/>
      <c r="B136" s="95"/>
      <c r="C136" s="95"/>
      <c r="D136" s="95"/>
      <c r="E136" s="95"/>
      <c r="F136" s="6"/>
      <c r="G136" s="96"/>
      <c r="H136" s="119"/>
      <c r="I136" s="119"/>
      <c r="J136" s="119"/>
      <c r="K136" s="119"/>
    </row>
    <row r="137" spans="1:11">
      <c r="A137" s="95"/>
      <c r="B137" s="95"/>
      <c r="C137" s="95"/>
      <c r="D137" s="95"/>
      <c r="E137" s="95"/>
      <c r="F137" s="6"/>
      <c r="G137" s="96"/>
      <c r="H137" s="119"/>
      <c r="I137" s="119"/>
      <c r="J137" s="119"/>
      <c r="K137" s="120"/>
    </row>
    <row r="138" spans="1:11">
      <c r="A138" s="95"/>
      <c r="B138" s="95"/>
      <c r="C138" s="95"/>
      <c r="D138" s="95"/>
      <c r="E138" s="95"/>
      <c r="F138" s="6"/>
      <c r="G138" s="96"/>
      <c r="H138" s="120"/>
      <c r="I138" s="120"/>
      <c r="J138" s="120"/>
      <c r="K138" s="119"/>
    </row>
    <row r="139" spans="1:11">
      <c r="A139" s="95"/>
      <c r="B139" s="95"/>
      <c r="C139" s="95"/>
      <c r="D139" s="95"/>
      <c r="E139" s="95"/>
      <c r="F139" s="6"/>
      <c r="G139" s="6"/>
      <c r="H139" s="119"/>
      <c r="I139" s="119"/>
      <c r="J139" s="119"/>
      <c r="K139" s="119"/>
    </row>
    <row r="140" spans="1:11">
      <c r="A140" s="122"/>
      <c r="B140" s="122"/>
      <c r="C140" s="122"/>
      <c r="D140" s="122"/>
      <c r="E140" s="122"/>
      <c r="F140" s="6"/>
      <c r="G140" s="6"/>
      <c r="H140" s="119"/>
      <c r="I140" s="119"/>
      <c r="J140" s="119"/>
      <c r="K140" s="119"/>
    </row>
    <row r="141" spans="1:11">
      <c r="A141" s="122"/>
      <c r="B141" s="122"/>
      <c r="C141" s="122"/>
      <c r="D141" s="122"/>
      <c r="E141" s="122"/>
      <c r="F141" s="6"/>
      <c r="G141" s="6"/>
      <c r="H141" s="119"/>
      <c r="I141" s="119"/>
      <c r="J141" s="119"/>
      <c r="K141" s="119"/>
    </row>
    <row r="142" spans="1:11" ht="18.75" customHeight="1">
      <c r="A142" s="122"/>
      <c r="B142" s="122"/>
      <c r="C142" s="122"/>
      <c r="D142" s="122"/>
      <c r="E142" s="122"/>
      <c r="F142" s="6"/>
      <c r="G142" s="6"/>
      <c r="H142" s="119"/>
      <c r="I142" s="119"/>
      <c r="J142" s="119"/>
      <c r="K142" s="119"/>
    </row>
    <row r="143" spans="1:11">
      <c r="A143" s="122"/>
      <c r="B143" s="122"/>
      <c r="C143" s="122"/>
      <c r="D143" s="122"/>
      <c r="E143" s="122"/>
      <c r="F143" s="6"/>
      <c r="G143" s="6"/>
      <c r="H143" s="119"/>
      <c r="I143" s="119"/>
      <c r="J143" s="119"/>
      <c r="K143" s="119"/>
    </row>
    <row r="144" spans="1:11">
      <c r="A144" s="122"/>
      <c r="B144" s="122"/>
      <c r="C144" s="122"/>
      <c r="D144" s="122"/>
      <c r="E144" s="122"/>
      <c r="F144" s="6"/>
      <c r="G144" s="6"/>
      <c r="H144" s="119"/>
      <c r="I144" s="119"/>
      <c r="J144" s="119"/>
      <c r="K144" s="119"/>
    </row>
    <row r="145" spans="1:16">
      <c r="A145" s="122"/>
      <c r="B145" s="122"/>
      <c r="C145" s="122"/>
      <c r="D145" s="122"/>
      <c r="E145" s="122"/>
      <c r="F145" s="6"/>
      <c r="G145" s="6"/>
      <c r="H145" s="119"/>
      <c r="I145" s="119"/>
      <c r="J145" s="119"/>
      <c r="K145" s="119"/>
      <c r="L145" s="102"/>
    </row>
    <row r="146" spans="1:16">
      <c r="A146" s="122"/>
      <c r="B146" s="122"/>
      <c r="C146" s="122"/>
      <c r="D146" s="122"/>
      <c r="E146" s="122"/>
      <c r="F146" s="6"/>
      <c r="G146" s="6"/>
      <c r="H146" s="119"/>
      <c r="I146" s="119"/>
      <c r="J146" s="119"/>
      <c r="K146" s="120"/>
    </row>
    <row r="147" spans="1:16">
      <c r="A147" s="122"/>
      <c r="B147" s="122"/>
      <c r="C147" s="95"/>
      <c r="D147" s="95"/>
      <c r="E147" s="95"/>
      <c r="F147" s="104"/>
      <c r="G147" s="104"/>
      <c r="H147" s="120"/>
      <c r="I147" s="120"/>
      <c r="J147" s="120"/>
      <c r="K147" s="120"/>
      <c r="P147" s="101"/>
    </row>
    <row r="148" spans="1:16">
      <c r="A148" s="122"/>
      <c r="B148" s="122"/>
      <c r="C148" s="95"/>
      <c r="D148" s="95"/>
      <c r="E148" s="95"/>
      <c r="F148" s="104"/>
      <c r="G148" s="104"/>
      <c r="H148" s="120"/>
      <c r="I148" s="120"/>
      <c r="J148" s="120"/>
      <c r="K148" s="120"/>
      <c r="P148" s="101"/>
    </row>
    <row r="149" spans="1:16">
      <c r="A149" s="287"/>
      <c r="B149" s="287"/>
      <c r="C149" s="293"/>
      <c r="D149" s="293"/>
      <c r="E149" s="293"/>
      <c r="F149" s="104"/>
      <c r="G149" s="104"/>
      <c r="H149" s="120"/>
      <c r="I149" s="120"/>
      <c r="J149" s="120"/>
    </row>
    <row r="151" spans="1:16">
      <c r="F151" s="107"/>
    </row>
  </sheetData>
  <mergeCells count="108">
    <mergeCell ref="C107:E107"/>
    <mergeCell ref="A108:B108"/>
    <mergeCell ref="C108:E108"/>
    <mergeCell ref="A99:B99"/>
    <mergeCell ref="C99:E99"/>
    <mergeCell ref="A94:B94"/>
    <mergeCell ref="C94:E94"/>
    <mergeCell ref="A95:B95"/>
    <mergeCell ref="C95:E95"/>
    <mergeCell ref="A96:B96"/>
    <mergeCell ref="C96:E96"/>
    <mergeCell ref="A103:B103"/>
    <mergeCell ref="C103:E103"/>
    <mergeCell ref="A101:B101"/>
    <mergeCell ref="C101:E101"/>
    <mergeCell ref="A102:B102"/>
    <mergeCell ref="C102:E102"/>
    <mergeCell ref="A98:B98"/>
    <mergeCell ref="C98:E98"/>
    <mergeCell ref="A100:B100"/>
    <mergeCell ref="C100:E100"/>
    <mergeCell ref="A149:B149"/>
    <mergeCell ref="C149:E149"/>
    <mergeCell ref="C116:E116"/>
    <mergeCell ref="C117:E117"/>
    <mergeCell ref="C118:E118"/>
    <mergeCell ref="C119:E119"/>
    <mergeCell ref="C120:E120"/>
    <mergeCell ref="A106:B106"/>
    <mergeCell ref="A97:B97"/>
    <mergeCell ref="C97:E97"/>
    <mergeCell ref="A104:B104"/>
    <mergeCell ref="C104:E104"/>
    <mergeCell ref="C106:E106"/>
    <mergeCell ref="C121:E121"/>
    <mergeCell ref="A113:B113"/>
    <mergeCell ref="C113:E113"/>
    <mergeCell ref="A114:B114"/>
    <mergeCell ref="C114:E114"/>
    <mergeCell ref="A105:B105"/>
    <mergeCell ref="C105:E105"/>
    <mergeCell ref="A109:B109"/>
    <mergeCell ref="C109:E109"/>
    <mergeCell ref="C115:E115"/>
    <mergeCell ref="A107:B107"/>
    <mergeCell ref="A88:B88"/>
    <mergeCell ref="C88:E88"/>
    <mergeCell ref="A93:B93"/>
    <mergeCell ref="C93:E93"/>
    <mergeCell ref="A89:B89"/>
    <mergeCell ref="C89:E89"/>
    <mergeCell ref="A90:B90"/>
    <mergeCell ref="C90:E90"/>
    <mergeCell ref="A92:B92"/>
    <mergeCell ref="C92:E92"/>
    <mergeCell ref="C91:E91"/>
    <mergeCell ref="A91:B91"/>
    <mergeCell ref="A83:B83"/>
    <mergeCell ref="C83:E83"/>
    <mergeCell ref="A84:B84"/>
    <mergeCell ref="C84:E84"/>
    <mergeCell ref="A85:B85"/>
    <mergeCell ref="C85:E85"/>
    <mergeCell ref="A86:B86"/>
    <mergeCell ref="C86:E86"/>
    <mergeCell ref="A87:B87"/>
    <mergeCell ref="C87:E87"/>
    <mergeCell ref="A78:B78"/>
    <mergeCell ref="C78:E78"/>
    <mergeCell ref="A79:B79"/>
    <mergeCell ref="C79:E79"/>
    <mergeCell ref="A80:B80"/>
    <mergeCell ref="C80:E80"/>
    <mergeCell ref="A81:B81"/>
    <mergeCell ref="C81:E81"/>
    <mergeCell ref="A82:B82"/>
    <mergeCell ref="C82:E82"/>
    <mergeCell ref="A73:B73"/>
    <mergeCell ref="C73:E73"/>
    <mergeCell ref="C71:E71"/>
    <mergeCell ref="C74:E74"/>
    <mergeCell ref="A75:B75"/>
    <mergeCell ref="C75:E75"/>
    <mergeCell ref="A76:B76"/>
    <mergeCell ref="C76:E76"/>
    <mergeCell ref="A77:B77"/>
    <mergeCell ref="C77:E77"/>
    <mergeCell ref="A71:B71"/>
    <mergeCell ref="A74:B74"/>
    <mergeCell ref="A67:B67"/>
    <mergeCell ref="C67:E67"/>
    <mergeCell ref="A70:B70"/>
    <mergeCell ref="C70:E70"/>
    <mergeCell ref="A72:B72"/>
    <mergeCell ref="C72:E72"/>
    <mergeCell ref="A68:B68"/>
    <mergeCell ref="C68:E68"/>
    <mergeCell ref="A69:B69"/>
    <mergeCell ref="C69:E69"/>
    <mergeCell ref="A63:B63"/>
    <mergeCell ref="C63:E63"/>
    <mergeCell ref="A64:B64"/>
    <mergeCell ref="C64:E64"/>
    <mergeCell ref="C62:E62"/>
    <mergeCell ref="A65:B65"/>
    <mergeCell ref="C65:E65"/>
    <mergeCell ref="A66:B66"/>
    <mergeCell ref="C66:E66"/>
  </mergeCells>
  <phoneticPr fontId="35" type="noConversion"/>
  <conditionalFormatting sqref="G13:K13 F11:F12">
    <cfRule type="cellIs" dxfId="2" priority="21" operator="equal">
      <formula>"Invloed afrondingsstralen mag worden genegeerd"</formula>
    </cfRule>
    <cfRule type="cellIs" dxfId="1" priority="22" operator="equal">
      <formula>"Invloed afrondingsstralen mag niet worden genegeerd"</formula>
    </cfRule>
  </conditionalFormatting>
  <conditionalFormatting sqref="H133:J133 K132 H67">
    <cfRule type="containsText" dxfId="0" priority="20" operator="containsText" text="Spanningsverhouding niet mogelijk">
      <formula>NOT(ISERROR(SEARCH("Spanningsverhouding niet mogelijk",H67)))</formula>
    </cfRule>
  </conditionalFormatting>
  <pageMargins left="0.15748031496062992" right="0.15748031496062992" top="0.15748031496062992" bottom="0.15748031496062992" header="0.31496062992125984" footer="0.31496062992125984"/>
  <pageSetup paperSize="9" scale="33" orientation="landscape" r:id="rId1"/>
  <drawing r:id="rId2"/>
  <legacyDrawing r:id="rId3"/>
  <oleObjects>
    <oleObject progId="Word.Document.12" shapeId="2049" r:id="rId4"/>
    <oleObject progId="Equation.3" shapeId="2050" r:id="rId5"/>
    <oleObject progId="Equation.3" shapeId="2051" r:id="rId6"/>
    <oleObject progId="Equation.3" shapeId="2053" r:id="rId7"/>
    <oleObject progId="Equation.3" shapeId="2054" r:id="rId8"/>
    <oleObject progId="Equation.3" shapeId="2056" r:id="rId9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6</vt:i4>
      </vt:variant>
    </vt:vector>
  </HeadingPairs>
  <TitlesOfParts>
    <vt:vector size="9" baseType="lpstr">
      <vt:lpstr>Input &amp; output</vt:lpstr>
      <vt:lpstr>Profieleigenschappen</vt:lpstr>
      <vt:lpstr>Berekening</vt:lpstr>
      <vt:lpstr>Berekening!Afdrukbereik</vt:lpstr>
      <vt:lpstr>'Input &amp; output'!Afdrukbereik</vt:lpstr>
      <vt:lpstr>Profieleigenschappen!Afdrukbereik</vt:lpstr>
      <vt:lpstr>Berekening!Afdruktitels</vt:lpstr>
      <vt:lpstr>'Input &amp; output'!Afdruktitels</vt:lpstr>
      <vt:lpstr>Profieleigenschappen!Afdruktitels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Monique</cp:lastModifiedBy>
  <cp:lastPrinted>2009-09-06T18:56:20Z</cp:lastPrinted>
  <dcterms:created xsi:type="dcterms:W3CDTF">2009-01-30T09:46:19Z</dcterms:created>
  <dcterms:modified xsi:type="dcterms:W3CDTF">2009-09-27T12:26:27Z</dcterms:modified>
</cp:coreProperties>
</file>