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Default Extension="emf" ContentType="image/x-emf"/>
  <Override PartName="/xl/embeddings/oleObject3.bin" ContentType="application/vnd.openxmlformats-officedocument.oleObject"/>
  <Override PartName="/xl/embeddings/oleObject4.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9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80" windowHeight="6225" activeTab="2"/>
  </bookViews>
  <sheets>
    <sheet name="Input,output" sheetId="7" r:id="rId1"/>
    <sheet name="Profieleigenschappen" sheetId="1" r:id="rId2"/>
    <sheet name="Berekening" sheetId="10" r:id="rId3"/>
  </sheets>
  <definedNames>
    <definedName name="dfs" localSheetId="2">Berekening!#REF!</definedName>
    <definedName name="dfs" localSheetId="0">'Input,output'!#REF!</definedName>
    <definedName name="dfs">Profieleigenschappen!#REF!</definedName>
    <definedName name="sdfwf">Profieleigenschappen!#REF!</definedName>
  </definedNames>
  <calcPr calcId="125725"/>
</workbook>
</file>

<file path=xl/calcChain.xml><?xml version="1.0" encoding="utf-8"?>
<calcChain xmlns="http://schemas.openxmlformats.org/spreadsheetml/2006/main">
  <c r="G8" i="1"/>
  <c r="C28" s="1"/>
  <c r="G8" i="10"/>
  <c r="C29" s="1"/>
  <c r="G4" i="1"/>
  <c r="B43" s="1"/>
  <c r="G7"/>
  <c r="E27" s="1"/>
  <c r="G5"/>
  <c r="G6"/>
  <c r="F43" s="1"/>
  <c r="G4" i="10"/>
  <c r="G7"/>
  <c r="E28" s="1"/>
  <c r="B7"/>
  <c r="H142" s="1"/>
  <c r="G6"/>
  <c r="F46" s="1"/>
  <c r="G5"/>
  <c r="D46" s="1"/>
  <c r="B4"/>
  <c r="B6"/>
  <c r="B8"/>
  <c r="F15" i="7"/>
  <c r="H15" s="1"/>
  <c r="F17"/>
  <c r="N17" s="1"/>
  <c r="F18"/>
  <c r="N18" s="1"/>
  <c r="F19"/>
  <c r="H19" s="1"/>
  <c r="F20"/>
  <c r="N20" s="1"/>
  <c r="F21"/>
  <c r="N21" s="1"/>
  <c r="C24"/>
  <c r="E24"/>
  <c r="B6" i="1"/>
  <c r="B4"/>
  <c r="B9" i="10"/>
  <c r="B7" i="1"/>
  <c r="B8"/>
  <c r="B9"/>
  <c r="H18" i="7" l="1"/>
  <c r="J6" i="1"/>
  <c r="I5"/>
  <c r="B44"/>
  <c r="I6"/>
  <c r="D16"/>
  <c r="F16" s="1"/>
  <c r="D13"/>
  <c r="D17"/>
  <c r="F17" s="1"/>
  <c r="J4"/>
  <c r="F44"/>
  <c r="J5"/>
  <c r="B51"/>
  <c r="B52" s="1"/>
  <c r="E23"/>
  <c r="D43"/>
  <c r="D44" s="1"/>
  <c r="D18"/>
  <c r="F18" s="1"/>
  <c r="D20"/>
  <c r="F19" s="1"/>
  <c r="D19"/>
  <c r="F13"/>
  <c r="B5"/>
  <c r="I4"/>
  <c r="N15" i="7"/>
  <c r="H20"/>
  <c r="F24"/>
  <c r="J4" i="10"/>
  <c r="C27" i="1"/>
  <c r="D13" i="10"/>
  <c r="D47"/>
  <c r="F13"/>
  <c r="B5"/>
  <c r="F47"/>
  <c r="I5"/>
  <c r="C24"/>
  <c r="I6"/>
  <c r="J5"/>
  <c r="B54"/>
  <c r="B55" s="1"/>
  <c r="I4"/>
  <c r="E24"/>
  <c r="D21"/>
  <c r="F21" s="1"/>
  <c r="D17"/>
  <c r="F17" s="1"/>
  <c r="J6"/>
  <c r="B46"/>
  <c r="B47" s="1"/>
  <c r="D16"/>
  <c r="F16" s="1"/>
  <c r="D18"/>
  <c r="F18" s="1"/>
  <c r="H87"/>
  <c r="B34" i="1"/>
  <c r="C23"/>
  <c r="C28" i="10"/>
  <c r="N24" i="7"/>
  <c r="B37" i="10"/>
  <c r="A43" s="1"/>
  <c r="B54" i="1"/>
  <c r="B56" s="1"/>
  <c r="B53"/>
  <c r="E53"/>
  <c r="H17" i="7"/>
  <c r="N19"/>
  <c r="H105" i="10"/>
  <c r="B55" i="1" l="1"/>
  <c r="B37"/>
  <c r="B35"/>
  <c r="B36"/>
  <c r="B39" s="1"/>
  <c r="F23"/>
  <c r="B38"/>
  <c r="D45"/>
  <c r="F45"/>
  <c r="A58"/>
  <c r="A53" i="7"/>
  <c r="F24" i="10"/>
  <c r="B45" i="1"/>
  <c r="B57" i="10"/>
  <c r="B59" s="1"/>
  <c r="B38"/>
  <c r="D49" s="1"/>
  <c r="B48"/>
  <c r="B56"/>
  <c r="F48"/>
  <c r="E56"/>
  <c r="B40"/>
  <c r="D48"/>
  <c r="A61"/>
  <c r="A40" i="1"/>
  <c r="B41" i="10"/>
  <c r="G37"/>
  <c r="G40" s="1"/>
  <c r="B39"/>
  <c r="E54" i="1" l="1"/>
  <c r="E51"/>
  <c r="E52" s="1"/>
  <c r="B57" s="1"/>
  <c r="G39" i="10"/>
  <c r="H88"/>
  <c r="H89" s="1"/>
  <c r="H90" s="1"/>
  <c r="B49"/>
  <c r="B42"/>
  <c r="E57" s="1"/>
  <c r="H102"/>
  <c r="F49"/>
  <c r="G38"/>
  <c r="D46" i="1"/>
  <c r="F46"/>
  <c r="B46"/>
  <c r="E55" l="1"/>
  <c r="E57" s="1"/>
  <c r="E56"/>
  <c r="H91" i="10"/>
  <c r="H92" s="1"/>
  <c r="H93" s="1"/>
  <c r="E54"/>
  <c r="E59" s="1"/>
  <c r="E29"/>
  <c r="F28" s="1"/>
  <c r="H143"/>
  <c r="H101"/>
  <c r="H103" s="1"/>
  <c r="H104" s="1"/>
  <c r="H106"/>
  <c r="E28" i="1"/>
  <c r="A10" i="7" l="1"/>
  <c r="A9"/>
  <c r="E55" i="10"/>
  <c r="E58" s="1"/>
  <c r="E60" s="1"/>
  <c r="H95"/>
  <c r="H97" s="1"/>
  <c r="H99" s="1"/>
  <c r="H94"/>
  <c r="H96" s="1"/>
  <c r="H107"/>
  <c r="F27" i="1"/>
  <c r="H98" i="10" l="1"/>
  <c r="B58"/>
  <c r="B60" s="1"/>
  <c r="H108"/>
  <c r="H109" s="1"/>
  <c r="H110" s="1"/>
  <c r="H111" s="1"/>
  <c r="H112" s="1"/>
  <c r="F41" i="7"/>
  <c r="H100" i="10"/>
  <c r="J41" i="7" l="1"/>
  <c r="F42"/>
  <c r="H120" i="10"/>
  <c r="H114" l="1"/>
  <c r="H115" s="1"/>
  <c r="H113"/>
  <c r="H119" s="1"/>
  <c r="H124" l="1"/>
  <c r="H118"/>
  <c r="H116"/>
  <c r="H121" l="1"/>
  <c r="H122" s="1"/>
  <c r="H123" s="1"/>
  <c r="H125" s="1"/>
  <c r="H126" s="1"/>
  <c r="H127" s="1"/>
  <c r="H130" l="1"/>
  <c r="H131" s="1"/>
  <c r="B44" i="7" s="1"/>
  <c r="F47"/>
  <c r="G41" i="10"/>
  <c r="G42"/>
  <c r="H135" l="1"/>
  <c r="H136" l="1"/>
  <c r="F46" i="7" s="1"/>
  <c r="F45"/>
  <c r="H137" i="10" l="1"/>
  <c r="H139" s="1"/>
  <c r="H138" l="1"/>
  <c r="F44" i="7"/>
  <c r="H141" i="10"/>
  <c r="H144" s="1"/>
  <c r="H145" s="1"/>
  <c r="H146" s="1"/>
  <c r="H147" s="1"/>
  <c r="H149" s="1"/>
  <c r="H154" s="1"/>
  <c r="H148" l="1"/>
  <c r="H150" s="1"/>
  <c r="H152" s="1"/>
  <c r="H153" s="1"/>
  <c r="H151"/>
  <c r="B42" i="7"/>
  <c r="B41" l="1"/>
  <c r="J7" i="1" s="1"/>
  <c r="H157" i="10"/>
  <c r="H158" s="1"/>
  <c r="H159" l="1"/>
  <c r="B46" i="7" s="1"/>
  <c r="I7" i="1"/>
  <c r="J9" s="1"/>
  <c r="J7" i="10"/>
  <c r="I7"/>
  <c r="J9" s="1"/>
  <c r="B45" i="7"/>
  <c r="A12" l="1"/>
  <c r="A51" s="1"/>
  <c r="H160" i="10"/>
  <c r="B47" i="7" s="1"/>
  <c r="H161" i="10"/>
  <c r="B48" i="7" s="1"/>
</calcChain>
</file>

<file path=xl/sharedStrings.xml><?xml version="1.0" encoding="utf-8"?>
<sst xmlns="http://schemas.openxmlformats.org/spreadsheetml/2006/main" count="645" uniqueCount="269">
  <si>
    <t>Karakteristieken afrondingsstraal</t>
  </si>
  <si>
    <t>r</t>
  </si>
  <si>
    <t>t</t>
  </si>
  <si>
    <t>mm</t>
  </si>
  <si>
    <t>h</t>
  </si>
  <si>
    <t>b</t>
  </si>
  <si>
    <t>c</t>
  </si>
  <si>
    <t>Profielafmetingen</t>
  </si>
  <si>
    <t>mm²</t>
  </si>
  <si>
    <t>ε</t>
  </si>
  <si>
    <t>ρ</t>
  </si>
  <si>
    <t>ψ</t>
  </si>
  <si>
    <t>Materiaaleigenschappen</t>
  </si>
  <si>
    <t>E</t>
  </si>
  <si>
    <t>G</t>
  </si>
  <si>
    <t>N/mm²</t>
  </si>
  <si>
    <r>
      <t>c</t>
    </r>
    <r>
      <rPr>
        <i/>
        <vertAlign val="subscript"/>
        <sz val="11"/>
        <color indexed="8"/>
        <rFont val="Arial"/>
        <family val="2"/>
      </rPr>
      <t xml:space="preserve">eff </t>
    </r>
  </si>
  <si>
    <r>
      <t>A</t>
    </r>
    <r>
      <rPr>
        <i/>
        <vertAlign val="subscript"/>
        <sz val="11"/>
        <color indexed="8"/>
        <rFont val="Arial"/>
        <family val="2"/>
      </rPr>
      <t>s,red</t>
    </r>
  </si>
  <si>
    <r>
      <t>mm</t>
    </r>
    <r>
      <rPr>
        <vertAlign val="superscript"/>
        <sz val="11"/>
        <color indexed="8"/>
        <rFont val="Arial"/>
        <family val="2"/>
      </rPr>
      <t>4</t>
    </r>
  </si>
  <si>
    <r>
      <t>y</t>
    </r>
    <r>
      <rPr>
        <i/>
        <vertAlign val="subscript"/>
        <sz val="11"/>
        <color indexed="8"/>
        <rFont val="Arial"/>
        <family val="2"/>
      </rPr>
      <t>g ,sh</t>
    </r>
  </si>
  <si>
    <t>INPUT</t>
  </si>
  <si>
    <r>
      <t>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</si>
  <si>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>eff</t>
    </r>
  </si>
  <si>
    <r>
      <t>z</t>
    </r>
    <r>
      <rPr>
        <i/>
        <vertAlign val="subscript"/>
        <sz val="11"/>
        <color indexed="8"/>
        <rFont val="Arial"/>
        <family val="2"/>
      </rPr>
      <t>g ,sh</t>
    </r>
  </si>
  <si>
    <t>Rechte hoeken</t>
  </si>
  <si>
    <t>Met afronding</t>
  </si>
  <si>
    <t>Afgeleide profielmaten [mm]</t>
  </si>
  <si>
    <t>Voorwaarde voor de berekening</t>
  </si>
  <si>
    <t>Plaatdikte</t>
  </si>
  <si>
    <t>Geometrie van profiel</t>
  </si>
  <si>
    <t>Randverstijving</t>
  </si>
  <si>
    <t>c/t</t>
  </si>
  <si>
    <t>h/t</t>
  </si>
  <si>
    <t>plaatdeel 1</t>
  </si>
  <si>
    <t>plaatdeel 2</t>
  </si>
  <si>
    <t>b/t</t>
  </si>
  <si>
    <t>Afrondingsstraal wel of niet in rekening brengen?</t>
  </si>
  <si>
    <t>≤</t>
  </si>
  <si>
    <t>Eenheid</t>
  </si>
  <si>
    <t>Plaatdeel 1</t>
  </si>
  <si>
    <t>plaat slankheid</t>
  </si>
  <si>
    <t>--</t>
  </si>
  <si>
    <t>effectieve breedte</t>
  </si>
  <si>
    <t>effectief oppervlak</t>
  </si>
  <si>
    <t>afstand</t>
  </si>
  <si>
    <t>traagheidsmoment</t>
  </si>
  <si>
    <t>knikspanning verstijver</t>
  </si>
  <si>
    <t>reductiefactor</t>
  </si>
  <si>
    <t>gereduceerde dikte</t>
  </si>
  <si>
    <t>dwarsdoorsnede</t>
  </si>
  <si>
    <t>Symbool</t>
  </si>
  <si>
    <t>Parameter</t>
  </si>
  <si>
    <t>Onderdeel</t>
  </si>
  <si>
    <t>Effectieve</t>
  </si>
  <si>
    <r>
      <t>≤</t>
    </r>
    <r>
      <rPr>
        <sz val="12.65"/>
        <color indexed="8"/>
        <rFont val="Arial"/>
        <family val="2"/>
      </rPr>
      <t xml:space="preserve"> 50</t>
    </r>
  </si>
  <si>
    <r>
      <t>≤</t>
    </r>
    <r>
      <rPr>
        <sz val="12.65"/>
        <color indexed="8"/>
        <rFont val="Arial"/>
        <family val="2"/>
      </rPr>
      <t xml:space="preserve"> 500</t>
    </r>
  </si>
  <si>
    <r>
      <t>≤</t>
    </r>
    <r>
      <rPr>
        <sz val="12.65"/>
        <color indexed="8"/>
        <rFont val="Arial"/>
        <family val="2"/>
      </rPr>
      <t xml:space="preserve"> 60</t>
    </r>
  </si>
  <si>
    <r>
      <t>mm</t>
    </r>
    <r>
      <rPr>
        <vertAlign val="superscript"/>
        <sz val="11"/>
        <color indexed="8"/>
        <rFont val="Arial"/>
        <family val="2"/>
      </rPr>
      <t>2</t>
    </r>
  </si>
  <si>
    <r>
      <t>N/mm</t>
    </r>
    <r>
      <rPr>
        <vertAlign val="superscript"/>
        <sz val="11"/>
        <color indexed="8"/>
        <rFont val="Arial"/>
        <family val="2"/>
      </rPr>
      <t>2</t>
    </r>
  </si>
  <si>
    <r>
      <t xml:space="preserve">≤ </t>
    </r>
    <r>
      <rPr>
        <sz val="12.65"/>
        <color indexed="8"/>
        <rFont val="Arial"/>
        <family val="2"/>
      </rPr>
      <t>8</t>
    </r>
  </si>
  <si>
    <t>≤ 0,6</t>
  </si>
  <si>
    <t>EN 1993-1-3, 3.2.4</t>
  </si>
  <si>
    <t>EN 1993-1-3, 5.1 (3)</t>
  </si>
  <si>
    <t>EN 1993-1-5, 4.4 (2)</t>
  </si>
  <si>
    <t>EN 1993-1-3, 5.5.3.2 (7)</t>
  </si>
  <si>
    <t>0,2 ≤</t>
  </si>
  <si>
    <t>0,45 ≤</t>
  </si>
  <si>
    <t>EN 1993-1-3, 5.5.3.2 (11)</t>
  </si>
  <si>
    <t>EN 1993-1-3, 5.5.3.1 (7)</t>
  </si>
  <si>
    <t>EN 1993-1-3, 5.5.3.1 (5)</t>
  </si>
  <si>
    <t>ν</t>
  </si>
  <si>
    <t>gereduceerd effectief opp.</t>
  </si>
  <si>
    <t>veerstijfheid</t>
  </si>
  <si>
    <t>afstand van flens tot zw.punt</t>
  </si>
  <si>
    <t>EN 1993-1-3, 5.1 (6)</t>
  </si>
  <si>
    <t>spanningsverh.</t>
  </si>
  <si>
    <t>plooicoëfficiënt</t>
  </si>
  <si>
    <t>reductie factor</t>
  </si>
  <si>
    <t>eff. profielmaten</t>
  </si>
  <si>
    <t>relatieve slankheid</t>
  </si>
  <si>
    <t>trekzone lijf</t>
  </si>
  <si>
    <t>drukzone lijf</t>
  </si>
  <si>
    <t>Karakteristieken gered. afrondingsstraal</t>
  </si>
  <si>
    <r>
      <t>σ</t>
    </r>
    <r>
      <rPr>
        <i/>
        <vertAlign val="subscript"/>
        <sz val="11"/>
        <color indexed="8"/>
        <rFont val="Arial"/>
        <family val="2"/>
      </rPr>
      <t>com,Ed</t>
    </r>
  </si>
  <si>
    <t>EN 1993-1-5, tabel 4.1</t>
  </si>
  <si>
    <t>plaatslankheid</t>
  </si>
  <si>
    <t>EN 1993-1-3, 5.5.3.2 (5)</t>
  </si>
  <si>
    <t>EN 1993-1-5, tabel 4.2</t>
  </si>
  <si>
    <t>EN 1993-1-3, 5.5.3.2 (12)</t>
  </si>
  <si>
    <r>
      <t>b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= b – t</t>
    </r>
  </si>
  <si>
    <r>
      <t>b</t>
    </r>
    <r>
      <rPr>
        <vertAlign val="subscript"/>
        <sz val="12"/>
        <color indexed="8"/>
        <rFont val="Times New Roman"/>
        <family val="1"/>
      </rPr>
      <t xml:space="preserve">v </t>
    </r>
    <r>
      <rPr>
        <sz val="12"/>
        <color indexed="8"/>
        <rFont val="Times New Roman"/>
        <family val="1"/>
      </rPr>
      <t>= b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– 2 * r</t>
    </r>
    <r>
      <rPr>
        <vertAlign val="subscript"/>
        <sz val="12"/>
        <color indexed="8"/>
        <rFont val="Times New Roman"/>
        <family val="1"/>
      </rPr>
      <t>m</t>
    </r>
  </si>
  <si>
    <r>
      <t>b</t>
    </r>
    <r>
      <rPr>
        <vertAlign val="subscript"/>
        <sz val="12"/>
        <color indexed="8"/>
        <rFont val="Times New Roman"/>
        <family val="1"/>
      </rPr>
      <t xml:space="preserve">p </t>
    </r>
    <r>
      <rPr>
        <sz val="12"/>
        <color indexed="8"/>
        <rFont val="Times New Roman"/>
        <family val="1"/>
      </rPr>
      <t>= b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– 2 * g</t>
    </r>
    <r>
      <rPr>
        <vertAlign val="subscript"/>
        <sz val="12"/>
        <color indexed="8"/>
        <rFont val="Times New Roman"/>
        <family val="1"/>
      </rPr>
      <t>r</t>
    </r>
  </si>
  <si>
    <r>
      <t>c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= c – ½ * t</t>
    </r>
  </si>
  <si>
    <r>
      <t>c</t>
    </r>
    <r>
      <rPr>
        <vertAlign val="subscript"/>
        <sz val="12"/>
        <color indexed="8"/>
        <rFont val="Times New Roman"/>
        <family val="1"/>
      </rPr>
      <t>v</t>
    </r>
    <r>
      <rPr>
        <sz val="12"/>
        <color indexed="8"/>
        <rFont val="Times New Roman"/>
        <family val="1"/>
      </rPr>
      <t xml:space="preserve"> = c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– r</t>
    </r>
    <r>
      <rPr>
        <vertAlign val="subscript"/>
        <sz val="12"/>
        <color indexed="8"/>
        <rFont val="Times New Roman"/>
        <family val="1"/>
      </rPr>
      <t>m</t>
    </r>
  </si>
  <si>
    <r>
      <t>c</t>
    </r>
    <r>
      <rPr>
        <vertAlign val="subscript"/>
        <sz val="12"/>
        <color indexed="8"/>
        <rFont val="Times New Roman"/>
        <family val="1"/>
      </rPr>
      <t>p</t>
    </r>
    <r>
      <rPr>
        <sz val="12"/>
        <color indexed="8"/>
        <rFont val="Times New Roman"/>
        <family val="1"/>
      </rPr>
      <t xml:space="preserve"> = c</t>
    </r>
    <r>
      <rPr>
        <vertAlign val="subscript"/>
        <sz val="12"/>
        <color indexed="8"/>
        <rFont val="Times New Roman"/>
        <family val="1"/>
      </rPr>
      <t>m</t>
    </r>
    <r>
      <rPr>
        <sz val="12"/>
        <color indexed="8"/>
        <rFont val="Times New Roman"/>
        <family val="1"/>
      </rPr>
      <t xml:space="preserve"> - g</t>
    </r>
    <r>
      <rPr>
        <vertAlign val="subscript"/>
        <sz val="12"/>
        <color indexed="8"/>
        <rFont val="Times New Roman"/>
        <family val="1"/>
      </rPr>
      <t>r</t>
    </r>
  </si>
  <si>
    <t>EN 1993-1-3, tabel 5.1</t>
  </si>
  <si>
    <t>EN 1993-1-3, 3.2.4 vlg. 5.2a</t>
  </si>
  <si>
    <t>c/b</t>
  </si>
  <si>
    <t>plaatdeel 3 [lip]</t>
  </si>
  <si>
    <t>mm³</t>
  </si>
  <si>
    <t>1 ≤</t>
  </si>
  <si>
    <t>≥ 0,2</t>
  </si>
  <si>
    <t>≤ 8</t>
  </si>
  <si>
    <t>≤ 500</t>
  </si>
  <si>
    <t>≤ 60</t>
  </si>
  <si>
    <t>≤ 50</t>
  </si>
  <si>
    <t>NB 1993-1-3, 3.2.4</t>
  </si>
  <si>
    <r>
      <t>f</t>
    </r>
    <r>
      <rPr>
        <i/>
        <vertAlign val="subscript"/>
        <sz val="11"/>
        <color indexed="8"/>
        <rFont val="Arial"/>
        <family val="2"/>
      </rPr>
      <t>yb</t>
    </r>
  </si>
  <si>
    <r>
      <t>γ</t>
    </r>
    <r>
      <rPr>
        <i/>
        <vertAlign val="subscript"/>
        <sz val="11"/>
        <color indexed="8"/>
        <rFont val="Arial"/>
        <family val="2"/>
      </rPr>
      <t>M0</t>
    </r>
  </si>
  <si>
    <r>
      <t>γ</t>
    </r>
    <r>
      <rPr>
        <i/>
        <vertAlign val="subscript"/>
        <sz val="11"/>
        <color indexed="8"/>
        <rFont val="Arial"/>
        <family val="2"/>
      </rPr>
      <t>M1</t>
    </r>
  </si>
  <si>
    <r>
      <t>C - M</t>
    </r>
    <r>
      <rPr>
        <b/>
        <vertAlign val="subscript"/>
        <sz val="16"/>
        <color indexed="8"/>
        <rFont val="Arial"/>
        <family val="2"/>
      </rPr>
      <t>y</t>
    </r>
    <r>
      <rPr>
        <b/>
        <sz val="16"/>
        <color indexed="8"/>
        <rFont val="Arial"/>
        <family val="2"/>
      </rPr>
      <t>: Input,output</t>
    </r>
  </si>
  <si>
    <r>
      <t xml:space="preserve">0,04 * </t>
    </r>
    <r>
      <rPr>
        <i/>
        <sz val="11"/>
        <color indexed="8"/>
        <rFont val="Arial"/>
        <family val="2"/>
      </rPr>
      <t>t *E / f</t>
    </r>
    <r>
      <rPr>
        <i/>
        <vertAlign val="subscript"/>
        <sz val="11"/>
        <color indexed="8"/>
        <rFont val="Arial"/>
        <family val="2"/>
      </rPr>
      <t>y</t>
    </r>
  </si>
  <si>
    <r>
      <t>z</t>
    </r>
    <r>
      <rPr>
        <i/>
        <vertAlign val="subscript"/>
        <sz val="11"/>
        <color indexed="8"/>
        <rFont val="Arial"/>
        <family val="2"/>
      </rPr>
      <t>init</t>
    </r>
  </si>
  <si>
    <r>
      <t>z</t>
    </r>
    <r>
      <rPr>
        <i/>
        <vertAlign val="subscript"/>
        <sz val="11"/>
        <color indexed="8"/>
        <rFont val="Arial"/>
        <family val="2"/>
      </rPr>
      <t>eff</t>
    </r>
  </si>
  <si>
    <r>
      <t>h</t>
    </r>
    <r>
      <rPr>
        <i/>
        <vertAlign val="subscript"/>
        <sz val="11"/>
        <color indexed="8"/>
        <rFont val="Arial"/>
        <family val="2"/>
      </rPr>
      <t>eff1,v</t>
    </r>
  </si>
  <si>
    <r>
      <t>h</t>
    </r>
    <r>
      <rPr>
        <i/>
        <vertAlign val="subscript"/>
        <sz val="11"/>
        <color indexed="8"/>
        <rFont val="Arial"/>
        <family val="2"/>
      </rPr>
      <t>eff2,v</t>
    </r>
  </si>
  <si>
    <r>
      <t>I</t>
    </r>
    <r>
      <rPr>
        <i/>
        <vertAlign val="subscript"/>
        <sz val="11"/>
        <color indexed="8"/>
        <rFont val="Arial"/>
        <family val="2"/>
      </rPr>
      <t>eff,y</t>
    </r>
  </si>
  <si>
    <r>
      <t>W</t>
    </r>
    <r>
      <rPr>
        <i/>
        <vertAlign val="subscript"/>
        <sz val="11"/>
        <color indexed="8"/>
        <rFont val="Arial"/>
        <family val="2"/>
      </rPr>
      <t>eff,y;com</t>
    </r>
  </si>
  <si>
    <r>
      <t>W</t>
    </r>
    <r>
      <rPr>
        <i/>
        <vertAlign val="subscript"/>
        <sz val="11"/>
        <color indexed="8"/>
        <rFont val="Arial"/>
        <family val="2"/>
      </rPr>
      <t>eff,y;ten</t>
    </r>
  </si>
  <si>
    <r>
      <t>t</t>
    </r>
    <r>
      <rPr>
        <i/>
        <vertAlign val="subscript"/>
        <sz val="11"/>
        <color indexed="8"/>
        <rFont val="Arial"/>
        <family val="2"/>
      </rPr>
      <t>red</t>
    </r>
  </si>
  <si>
    <r>
      <t>b</t>
    </r>
    <r>
      <rPr>
        <i/>
        <vertAlign val="subscript"/>
        <sz val="11"/>
        <color indexed="8"/>
        <rFont val="Arial"/>
        <family val="2"/>
      </rPr>
      <t>eff1,v</t>
    </r>
  </si>
  <si>
    <r>
      <t>b</t>
    </r>
    <r>
      <rPr>
        <i/>
        <vertAlign val="subscript"/>
        <sz val="11"/>
        <color indexed="8"/>
        <rFont val="Arial"/>
        <family val="2"/>
      </rPr>
      <t>eff2,v</t>
    </r>
  </si>
  <si>
    <r>
      <t>b</t>
    </r>
    <r>
      <rPr>
        <i/>
        <vertAlign val="subscript"/>
        <sz val="11"/>
        <color indexed="8"/>
        <rFont val="Arial"/>
        <family val="2"/>
      </rPr>
      <t>t</t>
    </r>
  </si>
  <si>
    <r>
      <t>b</t>
    </r>
    <r>
      <rPr>
        <i/>
        <vertAlign val="subscript"/>
        <sz val="11"/>
        <color indexed="8"/>
        <rFont val="Arial"/>
        <family val="2"/>
      </rPr>
      <t>c</t>
    </r>
  </si>
  <si>
    <r>
      <t>c</t>
    </r>
    <r>
      <rPr>
        <i/>
        <vertAlign val="subscript"/>
        <sz val="11"/>
        <color indexed="8"/>
        <rFont val="Arial"/>
        <family val="2"/>
      </rPr>
      <t>eff,v</t>
    </r>
  </si>
  <si>
    <t>OUTPUT</t>
  </si>
  <si>
    <t xml:space="preserve">Eigenschappen effectieve doorsnede </t>
  </si>
  <si>
    <r>
      <t>C - M</t>
    </r>
    <r>
      <rPr>
        <b/>
        <vertAlign val="subscript"/>
        <sz val="16"/>
        <color indexed="8"/>
        <rFont val="Arial"/>
        <family val="2"/>
      </rPr>
      <t>y</t>
    </r>
    <r>
      <rPr>
        <b/>
        <sz val="16"/>
        <color indexed="8"/>
        <rFont val="Arial"/>
        <family val="2"/>
      </rPr>
      <t>: Profieleigenschappen</t>
    </r>
  </si>
  <si>
    <r>
      <rPr>
        <i/>
        <sz val="11"/>
        <color indexed="8"/>
        <rFont val="Arial"/>
        <family val="2"/>
      </rPr>
      <t>r</t>
    </r>
    <r>
      <rPr>
        <sz val="11"/>
        <color indexed="8"/>
        <rFont val="Arial"/>
        <family val="2"/>
      </rPr>
      <t xml:space="preserve"> ≤ 5 </t>
    </r>
    <r>
      <rPr>
        <i/>
        <sz val="11"/>
        <color indexed="8"/>
        <rFont val="Arial"/>
        <family val="2"/>
      </rPr>
      <t>t</t>
    </r>
  </si>
  <si>
    <r>
      <rPr>
        <i/>
        <sz val="11"/>
        <color indexed="8"/>
        <rFont val="Arial"/>
        <family val="2"/>
      </rPr>
      <t>r</t>
    </r>
    <r>
      <rPr>
        <sz val="11"/>
        <color indexed="8"/>
        <rFont val="Arial"/>
        <family val="2"/>
      </rPr>
      <t xml:space="preserve"> ≤ 0,1 </t>
    </r>
    <r>
      <rPr>
        <i/>
        <sz val="11"/>
        <color indexed="8"/>
        <rFont val="Arial"/>
        <family val="2"/>
      </rPr>
      <t>b</t>
    </r>
    <r>
      <rPr>
        <i/>
        <vertAlign val="subscript"/>
        <sz val="11"/>
        <color indexed="8"/>
        <rFont val="Arial"/>
        <family val="2"/>
      </rPr>
      <t>p</t>
    </r>
  </si>
  <si>
    <r>
      <t>r</t>
    </r>
    <r>
      <rPr>
        <i/>
        <vertAlign val="subscript"/>
        <sz val="11"/>
        <color indexed="8"/>
        <rFont val="Arial"/>
        <family val="2"/>
      </rPr>
      <t>m</t>
    </r>
  </si>
  <si>
    <r>
      <t>l</t>
    </r>
    <r>
      <rPr>
        <i/>
        <vertAlign val="subscript"/>
        <sz val="11"/>
        <color indexed="8"/>
        <rFont val="Times New Roman"/>
        <family val="1"/>
      </rPr>
      <t>r</t>
    </r>
  </si>
  <si>
    <r>
      <t>e</t>
    </r>
    <r>
      <rPr>
        <i/>
        <vertAlign val="subscript"/>
        <sz val="11"/>
        <color indexed="8"/>
        <rFont val="Arial"/>
        <family val="2"/>
      </rPr>
      <t>rc</t>
    </r>
  </si>
  <si>
    <r>
      <t>I</t>
    </r>
    <r>
      <rPr>
        <i/>
        <vertAlign val="subscript"/>
        <sz val="11"/>
        <color indexed="8"/>
        <rFont val="Arial"/>
        <family val="2"/>
      </rPr>
      <t>rc</t>
    </r>
  </si>
  <si>
    <t>Profieleigenschappen niet gereduceerde dwarsdoorsnede</t>
  </si>
  <si>
    <t>Scherpe hoeken</t>
  </si>
  <si>
    <t>Met afrondingsstraal</t>
  </si>
  <si>
    <r>
      <t>I</t>
    </r>
    <r>
      <rPr>
        <i/>
        <vertAlign val="subscript"/>
        <sz val="11"/>
        <color indexed="8"/>
        <rFont val="Arial"/>
        <family val="2"/>
      </rPr>
      <t>g,y,sh</t>
    </r>
  </si>
  <si>
    <r>
      <t>I</t>
    </r>
    <r>
      <rPr>
        <i/>
        <vertAlign val="subscript"/>
        <sz val="11"/>
        <color indexed="8"/>
        <rFont val="Arial"/>
        <family val="2"/>
      </rPr>
      <t>g,z,sh</t>
    </r>
  </si>
  <si>
    <r>
      <t>i</t>
    </r>
    <r>
      <rPr>
        <i/>
        <vertAlign val="subscript"/>
        <sz val="11"/>
        <color indexed="8"/>
        <rFont val="Arial"/>
        <family val="2"/>
      </rPr>
      <t>g,y,sh</t>
    </r>
  </si>
  <si>
    <r>
      <t>i</t>
    </r>
    <r>
      <rPr>
        <i/>
        <vertAlign val="subscript"/>
        <sz val="11"/>
        <color indexed="8"/>
        <rFont val="Arial"/>
        <family val="2"/>
      </rPr>
      <t>g,z,sh</t>
    </r>
  </si>
  <si>
    <r>
      <t>A</t>
    </r>
    <r>
      <rPr>
        <i/>
        <vertAlign val="subscript"/>
        <sz val="11"/>
        <color indexed="8"/>
        <rFont val="Arial"/>
        <family val="2"/>
      </rPr>
      <t>g,sh</t>
    </r>
  </si>
  <si>
    <r>
      <t>y</t>
    </r>
    <r>
      <rPr>
        <i/>
        <vertAlign val="subscript"/>
        <sz val="11"/>
        <color indexed="8"/>
        <rFont val="Arial"/>
        <family val="2"/>
      </rPr>
      <t>g,sh</t>
    </r>
  </si>
  <si>
    <r>
      <t>z</t>
    </r>
    <r>
      <rPr>
        <i/>
        <vertAlign val="subscript"/>
        <sz val="11"/>
        <color indexed="8"/>
        <rFont val="Arial"/>
        <family val="2"/>
      </rPr>
      <t>g,sh</t>
    </r>
  </si>
  <si>
    <r>
      <t>A</t>
    </r>
    <r>
      <rPr>
        <i/>
        <vertAlign val="subscript"/>
        <sz val="11"/>
        <color indexed="8"/>
        <rFont val="Arial"/>
        <family val="2"/>
      </rPr>
      <t>g</t>
    </r>
  </si>
  <si>
    <r>
      <t>y</t>
    </r>
    <r>
      <rPr>
        <i/>
        <vertAlign val="subscript"/>
        <sz val="11"/>
        <color indexed="8"/>
        <rFont val="Arial"/>
        <family val="2"/>
      </rPr>
      <t>g</t>
    </r>
  </si>
  <si>
    <r>
      <t>z</t>
    </r>
    <r>
      <rPr>
        <i/>
        <vertAlign val="subscript"/>
        <sz val="11"/>
        <color indexed="8"/>
        <rFont val="Arial"/>
        <family val="2"/>
      </rPr>
      <t>g</t>
    </r>
  </si>
  <si>
    <r>
      <t>I</t>
    </r>
    <r>
      <rPr>
        <i/>
        <vertAlign val="subscript"/>
        <sz val="11"/>
        <color indexed="8"/>
        <rFont val="Arial"/>
        <family val="2"/>
      </rPr>
      <t>g,y</t>
    </r>
  </si>
  <si>
    <r>
      <t>I</t>
    </r>
    <r>
      <rPr>
        <i/>
        <vertAlign val="subscript"/>
        <sz val="11"/>
        <color indexed="8"/>
        <rFont val="Arial"/>
        <family val="2"/>
      </rPr>
      <t>g,z</t>
    </r>
  </si>
  <si>
    <r>
      <t>i</t>
    </r>
    <r>
      <rPr>
        <i/>
        <vertAlign val="subscript"/>
        <sz val="11"/>
        <color indexed="8"/>
        <rFont val="Arial"/>
        <family val="2"/>
      </rPr>
      <t>g,y</t>
    </r>
  </si>
  <si>
    <r>
      <t>i</t>
    </r>
    <r>
      <rPr>
        <i/>
        <vertAlign val="subscript"/>
        <sz val="11"/>
        <color indexed="8"/>
        <rFont val="Arial"/>
        <family val="2"/>
      </rPr>
      <t>g,z</t>
    </r>
  </si>
  <si>
    <r>
      <t>c</t>
    </r>
    <r>
      <rPr>
        <i/>
        <vertAlign val="subscript"/>
        <sz val="11"/>
        <color indexed="8"/>
        <rFont val="Arial"/>
        <family val="2"/>
      </rPr>
      <t>m</t>
    </r>
  </si>
  <si>
    <r>
      <t>c</t>
    </r>
    <r>
      <rPr>
        <i/>
        <vertAlign val="subscript"/>
        <sz val="11"/>
        <color indexed="8"/>
        <rFont val="Arial"/>
        <family val="2"/>
      </rPr>
      <t>v</t>
    </r>
  </si>
  <si>
    <r>
      <t>c</t>
    </r>
    <r>
      <rPr>
        <i/>
        <vertAlign val="subscript"/>
        <sz val="11"/>
        <color indexed="8"/>
        <rFont val="Arial"/>
        <family val="2"/>
      </rPr>
      <t>p</t>
    </r>
  </si>
  <si>
    <r>
      <t>b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</si>
  <si>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>v</t>
    </r>
  </si>
  <si>
    <r>
      <t>b</t>
    </r>
    <r>
      <rPr>
        <i/>
        <vertAlign val="subscript"/>
        <sz val="11"/>
        <color indexed="8"/>
        <rFont val="Arial"/>
        <family val="2"/>
      </rPr>
      <t>p</t>
    </r>
  </si>
  <si>
    <r>
      <t>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=h</t>
    </r>
    <r>
      <rPr>
        <i/>
        <vertAlign val="subscript"/>
        <sz val="11"/>
        <color indexed="8"/>
        <rFont val="Arial"/>
        <family val="2"/>
      </rPr>
      <t>v</t>
    </r>
  </si>
  <si>
    <r>
      <t>h</t>
    </r>
    <r>
      <rPr>
        <i/>
        <vertAlign val="subscript"/>
        <sz val="11"/>
        <color indexed="8"/>
        <rFont val="Arial"/>
        <family val="2"/>
      </rPr>
      <t>v</t>
    </r>
  </si>
  <si>
    <r>
      <t>h</t>
    </r>
    <r>
      <rPr>
        <i/>
        <vertAlign val="subscript"/>
        <sz val="11"/>
        <color indexed="8"/>
        <rFont val="Arial"/>
        <family val="2"/>
      </rPr>
      <t>p</t>
    </r>
  </si>
  <si>
    <r>
      <t>A</t>
    </r>
    <r>
      <rPr>
        <i/>
        <vertAlign val="subscript"/>
        <sz val="11"/>
        <color indexed="8"/>
        <rFont val="Arial"/>
        <family val="2"/>
      </rPr>
      <t>afronding</t>
    </r>
  </si>
  <si>
    <t xml:space="preserve">Bepaling effectieve doorsnede van drukflens </t>
  </si>
  <si>
    <r>
      <t>k</t>
    </r>
    <r>
      <rPr>
        <i/>
        <vertAlign val="subscript"/>
        <sz val="11"/>
        <color indexed="8"/>
        <rFont val="Arial"/>
        <family val="2"/>
      </rPr>
      <t>σ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</si>
  <si>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e1 </t>
    </r>
  </si>
  <si>
    <r>
      <t>b</t>
    </r>
    <r>
      <rPr>
        <i/>
        <vertAlign val="subscript"/>
        <sz val="11"/>
        <color indexed="8"/>
        <rFont val="Arial"/>
        <family val="2"/>
      </rPr>
      <t>e2</t>
    </r>
  </si>
  <si>
    <r>
      <t>b</t>
    </r>
    <r>
      <rPr>
        <i/>
        <vertAlign val="subscript"/>
        <sz val="11"/>
        <color indexed="8"/>
        <rFont val="Arial"/>
        <family val="2"/>
      </rPr>
      <t>eff1;v</t>
    </r>
  </si>
  <si>
    <r>
      <t>b</t>
    </r>
    <r>
      <rPr>
        <i/>
        <vertAlign val="subscript"/>
        <sz val="11"/>
        <color indexed="8"/>
        <rFont val="Arial"/>
        <family val="2"/>
      </rPr>
      <t>eff2;v</t>
    </r>
  </si>
  <si>
    <r>
      <t>b</t>
    </r>
    <r>
      <rPr>
        <i/>
        <vertAlign val="subscript"/>
        <sz val="11"/>
        <color indexed="8"/>
        <rFont val="Arial"/>
        <family val="2"/>
      </rPr>
      <t>eff1</t>
    </r>
  </si>
  <si>
    <r>
      <t>b</t>
    </r>
    <r>
      <rPr>
        <i/>
        <vertAlign val="subscript"/>
        <sz val="11"/>
        <color indexed="8"/>
        <rFont val="Arial"/>
        <family val="2"/>
      </rPr>
      <t>eff2</t>
    </r>
  </si>
  <si>
    <r>
      <t>b</t>
    </r>
    <r>
      <rPr>
        <i/>
        <vertAlign val="subscript"/>
        <sz val="11"/>
        <color indexed="8"/>
        <rFont val="Arial"/>
        <family val="2"/>
      </rPr>
      <t>eff1,m</t>
    </r>
  </si>
  <si>
    <r>
      <t>b</t>
    </r>
    <r>
      <rPr>
        <i/>
        <vertAlign val="subscript"/>
        <sz val="11"/>
        <color indexed="8"/>
        <rFont val="Arial"/>
        <family val="2"/>
      </rPr>
      <t>eff2,m</t>
    </r>
  </si>
  <si>
    <r>
      <rPr>
        <i/>
        <sz val="11"/>
        <color indexed="8"/>
        <rFont val="Arial"/>
        <family val="2"/>
      </rPr>
      <t>c</t>
    </r>
    <r>
      <rPr>
        <i/>
        <vertAlign val="subscript"/>
        <sz val="10"/>
        <color indexed="8"/>
        <rFont val="Arial"/>
        <family val="2"/>
      </rPr>
      <t>p</t>
    </r>
    <r>
      <rPr>
        <i/>
        <sz val="10"/>
        <color indexed="8"/>
        <rFont val="Arial"/>
        <family val="2"/>
      </rPr>
      <t xml:space="preserve"> / b</t>
    </r>
    <r>
      <rPr>
        <i/>
        <vertAlign val="subscript"/>
        <sz val="10"/>
        <color indexed="8"/>
        <rFont val="Arial"/>
        <family val="2"/>
      </rPr>
      <t>p</t>
    </r>
  </si>
  <si>
    <r>
      <t>c</t>
    </r>
    <r>
      <rPr>
        <i/>
        <vertAlign val="subscript"/>
        <sz val="11"/>
        <color indexed="8"/>
        <rFont val="Arial"/>
        <family val="2"/>
      </rPr>
      <t>eff,m</t>
    </r>
  </si>
  <si>
    <r>
      <t>e</t>
    </r>
    <r>
      <rPr>
        <i/>
        <vertAlign val="subscript"/>
        <sz val="11"/>
        <color indexed="8"/>
        <rFont val="Arial"/>
        <family val="2"/>
      </rPr>
      <t>a</t>
    </r>
  </si>
  <si>
    <r>
      <t>e</t>
    </r>
    <r>
      <rPr>
        <i/>
        <vertAlign val="subscript"/>
        <sz val="11"/>
        <color indexed="8"/>
        <rFont val="Arial"/>
        <family val="2"/>
      </rPr>
      <t>b</t>
    </r>
  </si>
  <si>
    <r>
      <t>b</t>
    </r>
    <r>
      <rPr>
        <i/>
        <vertAlign val="subscript"/>
        <sz val="11"/>
        <color indexed="8"/>
        <rFont val="Arial"/>
        <family val="2"/>
      </rPr>
      <t>1</t>
    </r>
  </si>
  <si>
    <r>
      <t>b</t>
    </r>
    <r>
      <rPr>
        <i/>
        <vertAlign val="subscript"/>
        <sz val="11"/>
        <color indexed="8"/>
        <rFont val="Arial"/>
        <family val="2"/>
      </rPr>
      <t>2</t>
    </r>
  </si>
  <si>
    <r>
      <t>k</t>
    </r>
    <r>
      <rPr>
        <i/>
        <vertAlign val="subscript"/>
        <sz val="11"/>
        <color indexed="8"/>
        <rFont val="Arial"/>
        <family val="2"/>
      </rPr>
      <t>f</t>
    </r>
  </si>
  <si>
    <r>
      <t>K</t>
    </r>
    <r>
      <rPr>
        <i/>
        <vertAlign val="subscript"/>
        <sz val="11"/>
        <color indexed="8"/>
        <rFont val="Arial"/>
        <family val="2"/>
      </rPr>
      <t>1</t>
    </r>
  </si>
  <si>
    <r>
      <t>I</t>
    </r>
    <r>
      <rPr>
        <i/>
        <vertAlign val="subscript"/>
        <sz val="11"/>
        <color indexed="8"/>
        <rFont val="Arial"/>
        <family val="2"/>
      </rPr>
      <t>s</t>
    </r>
  </si>
  <si>
    <r>
      <t>A</t>
    </r>
    <r>
      <rPr>
        <i/>
        <vertAlign val="subscript"/>
        <sz val="11"/>
        <color indexed="8"/>
        <rFont val="Arial"/>
        <family val="2"/>
      </rPr>
      <t>s</t>
    </r>
  </si>
  <si>
    <r>
      <t>σ</t>
    </r>
    <r>
      <rPr>
        <i/>
        <vertAlign val="subscript"/>
        <sz val="11"/>
        <color indexed="8"/>
        <rFont val="Arial"/>
        <family val="2"/>
      </rPr>
      <t>cr;s</t>
    </r>
  </si>
  <si>
    <r>
      <t>A</t>
    </r>
    <r>
      <rPr>
        <i/>
        <vertAlign val="subscript"/>
        <sz val="11"/>
        <color indexed="8"/>
        <rFont val="Arial"/>
        <family val="2"/>
      </rPr>
      <t>eff</t>
    </r>
  </si>
  <si>
    <r>
      <t xml:space="preserve">1 &gt; </t>
    </r>
    <r>
      <rPr>
        <i/>
        <sz val="11"/>
        <color indexed="8"/>
        <rFont val="Arial"/>
        <family val="2"/>
      </rPr>
      <t>ψ</t>
    </r>
    <r>
      <rPr>
        <sz val="11"/>
        <color indexed="8"/>
        <rFont val="Arial"/>
        <family val="2"/>
      </rPr>
      <t xml:space="preserve"> ≥ 0</t>
    </r>
  </si>
  <si>
    <r>
      <t>0 &gt;</t>
    </r>
    <r>
      <rPr>
        <i/>
        <sz val="11"/>
        <color indexed="8"/>
        <rFont val="Arial"/>
        <family val="2"/>
      </rPr>
      <t xml:space="preserve"> ψ</t>
    </r>
    <r>
      <rPr>
        <sz val="11"/>
        <color indexed="8"/>
        <rFont val="Arial"/>
        <family val="2"/>
      </rPr>
      <t xml:space="preserve"> ≥ -1</t>
    </r>
  </si>
  <si>
    <r>
      <t xml:space="preserve">-1 &gt; </t>
    </r>
    <r>
      <rPr>
        <i/>
        <sz val="11"/>
        <color indexed="8"/>
        <rFont val="Arial"/>
        <family val="2"/>
      </rPr>
      <t>ψ</t>
    </r>
    <r>
      <rPr>
        <sz val="11"/>
        <color indexed="8"/>
        <rFont val="Arial"/>
        <family val="2"/>
      </rPr>
      <t xml:space="preserve"> ≥ -3</t>
    </r>
  </si>
  <si>
    <r>
      <t>h</t>
    </r>
    <r>
      <rPr>
        <i/>
        <vertAlign val="subscript"/>
        <sz val="11"/>
        <color indexed="8"/>
        <rFont val="Arial"/>
        <family val="2"/>
      </rPr>
      <t>eff1</t>
    </r>
  </si>
  <si>
    <r>
      <t>h</t>
    </r>
    <r>
      <rPr>
        <i/>
        <vertAlign val="subscript"/>
        <sz val="11"/>
        <color indexed="8"/>
        <rFont val="Arial"/>
        <family val="2"/>
      </rPr>
      <t>eff2</t>
    </r>
  </si>
  <si>
    <r>
      <t>h</t>
    </r>
    <r>
      <rPr>
        <i/>
        <vertAlign val="subscript"/>
        <sz val="11"/>
        <color indexed="8"/>
        <rFont val="Arial"/>
        <family val="2"/>
      </rPr>
      <t>eff1,m</t>
    </r>
  </si>
  <si>
    <r>
      <t>l</t>
    </r>
    <r>
      <rPr>
        <i/>
        <vertAlign val="subscript"/>
        <sz val="11"/>
        <color indexed="8"/>
        <rFont val="Arial"/>
        <family val="2"/>
      </rPr>
      <t>r</t>
    </r>
  </si>
  <si>
    <r>
      <t>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r + t/2</t>
    </r>
  </si>
  <si>
    <r>
      <t>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=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* (tan 45° - sin 45°)</t>
    </r>
  </si>
  <si>
    <r>
      <t>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= 0,637 * r</t>
    </r>
    <r>
      <rPr>
        <i/>
        <vertAlign val="subscript"/>
        <sz val="11"/>
        <color indexed="8"/>
        <rFont val="Arial"/>
        <family val="2"/>
      </rPr>
      <t>m</t>
    </r>
  </si>
  <si>
    <r>
      <t>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= 0,149 * r</t>
    </r>
    <r>
      <rPr>
        <i/>
        <vertAlign val="subscript"/>
        <sz val="11"/>
        <color indexed="8"/>
        <rFont val="Arial"/>
        <family val="2"/>
      </rPr>
      <t>m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 xml:space="preserve"> * t</t>
    </r>
  </si>
  <si>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= ½ * π * r</t>
    </r>
    <r>
      <rPr>
        <i/>
        <vertAlign val="subscript"/>
        <sz val="11"/>
        <color indexed="8"/>
        <rFont val="Arial"/>
        <family val="2"/>
      </rPr>
      <t>m</t>
    </r>
  </si>
  <si>
    <r>
      <t>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=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*t</t>
    </r>
  </si>
  <si>
    <t>Waarde</t>
  </si>
  <si>
    <r>
      <t>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h – t</t>
    </r>
  </si>
  <si>
    <r>
      <t>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r</t>
    </r>
    <r>
      <rPr>
        <i/>
        <vertAlign val="subscript"/>
        <sz val="11"/>
        <color indexed="8"/>
        <rFont val="Arial"/>
        <family val="2"/>
      </rPr>
      <t>m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</si>
  <si>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p </t>
    </r>
    <r>
      <rPr>
        <i/>
        <sz val="11"/>
        <color indexed="8"/>
        <rFont val="Arial"/>
        <family val="2"/>
      </rPr>
      <t>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g</t>
    </r>
    <r>
      <rPr>
        <i/>
        <vertAlign val="subscript"/>
        <sz val="11"/>
        <color indexed="8"/>
        <rFont val="Arial"/>
        <family val="2"/>
      </rPr>
      <t>r</t>
    </r>
  </si>
  <si>
    <r>
      <t>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(t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(2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t) + (2 * 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(4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>)</t>
    </r>
  </si>
  <si>
    <r>
      <t>A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 xml:space="preserve"> = (2 * b * t) + (t * (h – 2 * t)) + (2 * t * (c – t))</t>
    </r>
  </si>
  <si>
    <r>
      <t>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[ (h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½ *t) +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½ * t)) + (2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½ * b) +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(b – (½ * t) +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))) + (2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(b – (½ * t)) ]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– (½ * t)</t>
    </r>
  </si>
  <si>
    <r>
      <t>y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 xml:space="preserve"> = [ (2 * b * t * ½ * b) + (t * (h – (2 * t)) – (½ * t) ) + (2 * t * (c – t) * (b – (½ * t))) ] / A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 xml:space="preserve"> - (½ * t)</t>
    </r>
  </si>
  <si>
    <r>
      <t>z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/ 2</t>
    </r>
  </si>
  <si>
    <r>
      <t>z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/ 2</t>
    </r>
  </si>
  <si>
    <r>
      <t>I</t>
    </r>
    <r>
      <rPr>
        <i/>
        <vertAlign val="subscript"/>
        <sz val="11"/>
        <color indexed="8"/>
        <rFont val="Arial"/>
        <family val="2"/>
      </rPr>
      <t>g,y</t>
    </r>
    <r>
      <rPr>
        <i/>
        <sz val="11"/>
        <color indexed="8"/>
        <rFont val="Arial"/>
        <family val="2"/>
      </rPr>
      <t xml:space="preserve"> = (2 * ((1/12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t³) + (b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(½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)²))) + (1/12 * t * h</t>
    </r>
    <r>
      <rPr>
        <i/>
        <vertAlign val="subscript"/>
        <sz val="11"/>
        <color indexed="8"/>
        <rFont val="Arial"/>
        <family val="2"/>
      </rPr>
      <t>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>) + (4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((½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)²))) + (2 * ((1/12 * t * c</t>
    </r>
    <r>
      <rPr>
        <i/>
        <vertAlign val="subscript"/>
        <sz val="11"/>
        <color indexed="8"/>
        <rFont val="Arial"/>
        <family val="2"/>
      </rPr>
      <t>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>) + (t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((½ * h) – c + (½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))²)))</t>
    </r>
  </si>
  <si>
    <r>
      <t>I</t>
    </r>
    <r>
      <rPr>
        <i/>
        <vertAlign val="subscript"/>
        <sz val="11"/>
        <color indexed="8"/>
        <rFont val="Arial"/>
        <family val="2"/>
      </rPr>
      <t>g,y,sh</t>
    </r>
    <r>
      <rPr>
        <i/>
        <sz val="11"/>
        <color indexed="8"/>
        <rFont val="Arial"/>
        <family val="2"/>
      </rPr>
      <t xml:space="preserve"> = (2 * ((1/12 * b * t³) + (b * t * (½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)²))) + (1/12 * t * (h – (2 * t))³) + (2 * ((1/12 * t * (c – t)³) + (t * (c – t) * ((½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+ (½ * t) – (½ * c))²)))</t>
    </r>
  </si>
  <si>
    <r>
      <t>I</t>
    </r>
    <r>
      <rPr>
        <i/>
        <vertAlign val="subscript"/>
        <sz val="11"/>
        <color indexed="8"/>
        <rFont val="Arial"/>
        <family val="2"/>
      </rPr>
      <t>g,z</t>
    </r>
    <r>
      <rPr>
        <i/>
        <sz val="11"/>
        <color indexed="8"/>
        <rFont val="Arial"/>
        <family val="2"/>
      </rPr>
      <t xml:space="preserve"> = ((1/12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t³)  + (h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²)) + (2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))²))) + (2 * ((1/12 * t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³) + (t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((½ *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)²))) + (2*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)²))) + (2 * ((1/12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t³) + (c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)²)))</t>
    </r>
  </si>
  <si>
    <r>
      <t>I</t>
    </r>
    <r>
      <rPr>
        <i/>
        <vertAlign val="subscript"/>
        <sz val="11"/>
        <color indexed="8"/>
        <rFont val="Arial"/>
        <family val="2"/>
      </rPr>
      <t>g,z,sh</t>
    </r>
    <r>
      <rPr>
        <i/>
        <sz val="11"/>
        <color indexed="8"/>
        <rFont val="Arial"/>
        <family val="2"/>
      </rPr>
      <t xml:space="preserve"> = (2 * ((1/12 * t * b³) + (t * b * ((½ * b) - y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>)²))) + (2 * ((1/12 * (h – (2 * t)) * t³) + ((h – (2 * t)) * t * (y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 xml:space="preserve"> – (½ * t))²)))</t>
    </r>
  </si>
  <si>
    <r>
      <t>i</t>
    </r>
    <r>
      <rPr>
        <i/>
        <vertAlign val="subscript"/>
        <sz val="11"/>
        <color indexed="8"/>
        <rFont val="Arial"/>
        <family val="2"/>
      </rPr>
      <t>g,y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g,y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</t>
    </r>
  </si>
  <si>
    <r>
      <t>i</t>
    </r>
    <r>
      <rPr>
        <i/>
        <vertAlign val="subscript"/>
        <sz val="11"/>
        <color indexed="8"/>
        <rFont val="Arial"/>
        <family val="2"/>
      </rPr>
      <t>g,y,sh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g,y,sh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>)</t>
    </r>
  </si>
  <si>
    <r>
      <t>i</t>
    </r>
    <r>
      <rPr>
        <i/>
        <vertAlign val="subscript"/>
        <sz val="11"/>
        <color indexed="8"/>
        <rFont val="Arial"/>
        <family val="2"/>
      </rPr>
      <t>g,z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g,z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</t>
    </r>
  </si>
  <si>
    <r>
      <t>i</t>
    </r>
    <r>
      <rPr>
        <i/>
        <vertAlign val="subscript"/>
        <sz val="11"/>
        <color indexed="8"/>
        <rFont val="Arial"/>
        <family val="2"/>
      </rPr>
      <t>g,z,sh</t>
    </r>
    <r>
      <rPr>
        <i/>
        <sz val="11"/>
        <color indexed="8"/>
        <rFont val="Arial"/>
        <family val="2"/>
      </rPr>
      <t xml:space="preserve"> = √ (I</t>
    </r>
    <r>
      <rPr>
        <i/>
        <vertAlign val="subscript"/>
        <sz val="11"/>
        <color indexed="8"/>
        <rFont val="Arial"/>
        <family val="2"/>
      </rPr>
      <t>g,z,sh</t>
    </r>
    <r>
      <rPr>
        <i/>
        <sz val="11"/>
        <color indexed="8"/>
        <rFont val="Arial"/>
        <family val="2"/>
      </rPr>
      <t xml:space="preserve"> / A</t>
    </r>
    <r>
      <rPr>
        <i/>
        <vertAlign val="subscript"/>
        <sz val="11"/>
        <color indexed="8"/>
        <rFont val="Arial"/>
        <family val="2"/>
      </rPr>
      <t>g,sh</t>
    </r>
    <r>
      <rPr>
        <i/>
        <sz val="11"/>
        <color indexed="8"/>
        <rFont val="Arial"/>
        <family val="2"/>
      </rPr>
      <t>)</t>
    </r>
  </si>
  <si>
    <r>
      <t>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=h</t>
    </r>
    <r>
      <rPr>
        <i/>
        <vertAlign val="subscript"/>
        <sz val="11"/>
        <color indexed="8"/>
        <rFont val="Arial"/>
        <family val="2"/>
      </rPr>
      <t>w</t>
    </r>
  </si>
  <si>
    <r>
      <t>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b – t</t>
    </r>
  </si>
  <si>
    <r>
      <t>c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= c – ½ * t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</si>
  <si>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r</t>
    </r>
    <r>
      <rPr>
        <i/>
        <vertAlign val="subscript"/>
        <sz val="11"/>
        <color indexed="8"/>
        <rFont val="Arial"/>
        <family val="2"/>
      </rPr>
      <t>m</t>
    </r>
  </si>
  <si>
    <r>
      <t>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= c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</si>
  <si>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p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2 * g</t>
    </r>
    <r>
      <rPr>
        <i/>
        <vertAlign val="subscript"/>
        <sz val="11"/>
        <color indexed="8"/>
        <rFont val="Arial"/>
        <family val="2"/>
      </rPr>
      <t>r</t>
    </r>
  </si>
  <si>
    <r>
      <t>c</t>
    </r>
    <r>
      <rPr>
        <i/>
        <vertAlign val="subscript"/>
        <sz val="11"/>
        <color indexed="8"/>
        <rFont val="Arial"/>
        <family val="2"/>
      </rPr>
      <t>p</t>
    </r>
    <r>
      <rPr>
        <i/>
        <sz val="11"/>
        <color indexed="8"/>
        <rFont val="Arial"/>
        <family val="2"/>
      </rPr>
      <t xml:space="preserve"> = c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g</t>
    </r>
    <r>
      <rPr>
        <i/>
        <vertAlign val="subscript"/>
        <sz val="11"/>
        <color indexed="8"/>
        <rFont val="Arial"/>
        <family val="2"/>
      </rPr>
      <t>r</t>
    </r>
  </si>
  <si>
    <r>
      <t>I</t>
    </r>
    <r>
      <rPr>
        <i/>
        <vertAlign val="subscript"/>
        <sz val="11"/>
        <color indexed="8"/>
        <rFont val="Arial"/>
        <family val="2"/>
      </rPr>
      <t>g,y</t>
    </r>
    <r>
      <rPr>
        <i/>
        <sz val="11"/>
        <color indexed="8"/>
        <rFont val="Arial"/>
        <family val="2"/>
      </rPr>
      <t xml:space="preserve"> = (2 * (b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(½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)²)) + (1/12 * t * h</t>
    </r>
    <r>
      <rPr>
        <i/>
        <vertAlign val="subscript"/>
        <sz val="11"/>
        <color indexed="8"/>
        <rFont val="Arial"/>
        <family val="2"/>
      </rPr>
      <t>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>) + (4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((½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)²))) + (2 * ((1/12 * t * c</t>
    </r>
    <r>
      <rPr>
        <i/>
        <vertAlign val="subscript"/>
        <sz val="11"/>
        <color indexed="8"/>
        <rFont val="Arial"/>
        <family val="2"/>
      </rPr>
      <t>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>) + (t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((½ * h) – c + (½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))²)))</t>
    </r>
  </si>
  <si>
    <r>
      <t>I</t>
    </r>
    <r>
      <rPr>
        <i/>
        <vertAlign val="subscript"/>
        <sz val="11"/>
        <color indexed="8"/>
        <rFont val="Arial"/>
        <family val="2"/>
      </rPr>
      <t>g,z</t>
    </r>
    <r>
      <rPr>
        <i/>
        <sz val="11"/>
        <color indexed="8"/>
        <rFont val="Arial"/>
        <family val="2"/>
      </rPr>
      <t xml:space="preserve"> = (h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²) + (2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))²))) + (2 * (t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((½ * 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 + (2*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)²))) + (2 *  (c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(b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y</t>
    </r>
    <r>
      <rPr>
        <i/>
        <vertAlign val="subscript"/>
        <sz val="11"/>
        <color indexed="8"/>
        <rFont val="Arial"/>
        <family val="2"/>
      </rPr>
      <t>g</t>
    </r>
    <r>
      <rPr>
        <i/>
        <sz val="11"/>
        <color indexed="8"/>
        <rFont val="Arial"/>
        <family val="2"/>
      </rPr>
      <t>)²))</t>
    </r>
  </si>
  <si>
    <r>
      <t>A</t>
    </r>
    <r>
      <rPr>
        <i/>
        <vertAlign val="subscript"/>
        <sz val="12"/>
        <color indexed="8"/>
        <rFont val="Arial"/>
        <family val="2"/>
      </rPr>
      <t>afronding</t>
    </r>
  </si>
  <si>
    <r>
      <t>l</t>
    </r>
    <r>
      <rPr>
        <i/>
        <vertAlign val="subscript"/>
        <sz val="16"/>
        <color indexed="8"/>
        <rFont val="Times New Roman"/>
        <family val="1"/>
      </rPr>
      <t>r</t>
    </r>
  </si>
  <si>
    <r>
      <t>c</t>
    </r>
    <r>
      <rPr>
        <i/>
        <vertAlign val="subscript"/>
        <sz val="11"/>
        <color indexed="8"/>
        <rFont val="Arial"/>
        <family val="2"/>
      </rPr>
      <t xml:space="preserve">eff ,m </t>
    </r>
    <r>
      <rPr>
        <i/>
        <sz val="11"/>
        <color indexed="8"/>
        <rFont val="Arial"/>
        <family val="2"/>
      </rPr>
      <t>= c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</si>
  <si>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c</t>
    </r>
    <r>
      <rPr>
        <i/>
        <vertAlign val="subscript"/>
        <sz val="11"/>
        <color indexed="8"/>
        <rFont val="Arial"/>
        <family val="2"/>
      </rPr>
      <t xml:space="preserve">eff ,v </t>
    </r>
    <r>
      <rPr>
        <i/>
        <sz val="11"/>
        <color indexed="8"/>
        <rFont val="Arial"/>
        <family val="2"/>
      </rPr>
      <t>= c</t>
    </r>
    <r>
      <rPr>
        <i/>
        <vertAlign val="subscript"/>
        <sz val="11"/>
        <color indexed="8"/>
        <rFont val="Arial"/>
        <family val="2"/>
      </rPr>
      <t>eff ,m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</si>
  <si>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>1</t>
    </r>
    <r>
      <rPr>
        <i/>
        <sz val="11"/>
        <color indexed="8"/>
        <rFont val="Arial"/>
        <family val="2"/>
      </rPr>
      <t xml:space="preserve"> = b</t>
    </r>
    <r>
      <rPr>
        <i/>
        <vertAlign val="subscript"/>
        <sz val="11"/>
        <color indexed="8"/>
        <rFont val="Arial"/>
        <family val="2"/>
      </rPr>
      <t>p</t>
    </r>
    <r>
      <rPr>
        <i/>
        <sz val="11"/>
        <color indexed="8"/>
        <rFont val="Arial"/>
        <family val="2"/>
      </rPr>
      <t xml:space="preserve"> + (2 *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 - e</t>
    </r>
    <r>
      <rPr>
        <i/>
        <vertAlign val="subscript"/>
        <sz val="11"/>
        <color indexed="8"/>
        <rFont val="Arial"/>
        <family val="2"/>
      </rPr>
      <t>b</t>
    </r>
  </si>
  <si>
    <r>
      <t>b</t>
    </r>
    <r>
      <rPr>
        <i/>
        <vertAlign val="sub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 xml:space="preserve"> = b</t>
    </r>
    <r>
      <rPr>
        <i/>
        <vertAlign val="subscript"/>
        <sz val="11"/>
        <color indexed="8"/>
        <rFont val="Arial"/>
        <family val="2"/>
      </rPr>
      <t>p</t>
    </r>
    <r>
      <rPr>
        <i/>
        <sz val="11"/>
        <color indexed="8"/>
        <rFont val="Arial"/>
        <family val="2"/>
      </rPr>
      <t xml:space="preserve"> + (2 *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 - e</t>
    </r>
    <r>
      <rPr>
        <i/>
        <vertAlign val="subscript"/>
        <sz val="11"/>
        <color indexed="8"/>
        <rFont val="Arial"/>
        <family val="2"/>
      </rPr>
      <t>b</t>
    </r>
  </si>
  <si>
    <r>
      <t>e</t>
    </r>
    <r>
      <rPr>
        <i/>
        <vertAlign val="subscript"/>
        <sz val="11"/>
        <color indexed="8"/>
        <rFont val="Arial"/>
        <family val="2"/>
      </rPr>
      <t>a</t>
    </r>
    <r>
      <rPr>
        <i/>
        <sz val="11"/>
        <color indexed="8"/>
        <rFont val="Arial"/>
        <family val="2"/>
      </rPr>
      <t xml:space="preserve"> = (((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 + (c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 xml:space="preserve"> * ((0,5 * c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>)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))) * t) / A</t>
    </r>
    <r>
      <rPr>
        <i/>
        <vertAlign val="subscript"/>
        <sz val="11"/>
        <color indexed="8"/>
        <rFont val="Arial"/>
        <family val="2"/>
      </rPr>
      <t>s</t>
    </r>
  </si>
  <si>
    <r>
      <t>e</t>
    </r>
    <r>
      <rPr>
        <i/>
        <vertAlign val="subscript"/>
        <sz val="11"/>
        <color indexed="8"/>
        <rFont val="Arial"/>
        <family val="2"/>
      </rPr>
      <t>b</t>
    </r>
    <r>
      <rPr>
        <i/>
        <sz val="11"/>
        <color indexed="8"/>
        <rFont val="Arial"/>
        <family val="2"/>
      </rPr>
      <t xml:space="preserve"> = (((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 + (b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* ((0,5 * 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>) +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))) * t) / A</t>
    </r>
    <r>
      <rPr>
        <i/>
        <vertAlign val="subscript"/>
        <sz val="11"/>
        <color indexed="8"/>
        <rFont val="Arial"/>
        <family val="2"/>
      </rPr>
      <t>s</t>
    </r>
  </si>
  <si>
    <r>
      <t>I</t>
    </r>
    <r>
      <rPr>
        <i/>
        <vertAlign val="subscript"/>
        <sz val="11"/>
        <color indexed="8"/>
        <rFont val="Arial"/>
        <family val="2"/>
      </rPr>
      <t>s</t>
    </r>
    <r>
      <rPr>
        <i/>
        <sz val="11"/>
        <color indexed="8"/>
        <rFont val="Arial"/>
        <family val="2"/>
      </rPr>
      <t xml:space="preserve"> = (b</t>
    </r>
    <r>
      <rPr>
        <i/>
        <vertAlign val="subscript"/>
        <sz val="11"/>
        <color indexed="8"/>
        <rFont val="Arial"/>
        <family val="2"/>
      </rPr>
      <t xml:space="preserve">eff 2,v </t>
    </r>
    <r>
      <rPr>
        <i/>
        <sz val="11"/>
        <color indexed="8"/>
        <rFont val="Arial"/>
        <family val="2"/>
      </rPr>
      <t>* t * (e</t>
    </r>
    <r>
      <rPr>
        <i/>
        <vertAlign val="subscript"/>
        <sz val="11"/>
        <color indexed="8"/>
        <rFont val="Arial"/>
        <family val="2"/>
      </rPr>
      <t>a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>) +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* t * (e</t>
    </r>
    <r>
      <rPr>
        <i/>
        <vertAlign val="subscript"/>
        <sz val="11"/>
        <color indexed="8"/>
        <rFont val="Arial"/>
        <family val="2"/>
      </rPr>
      <t>a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</t>
    </r>
    <r>
      <rPr>
        <i/>
        <vertAlign val="super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>) + (1/12) * t * c</t>
    </r>
    <r>
      <rPr>
        <i/>
        <vertAlign val="subscript"/>
        <sz val="11"/>
        <color indexed="8"/>
        <rFont val="Arial"/>
        <family val="2"/>
      </rPr>
      <t>eff ,v</t>
    </r>
    <r>
      <rPr>
        <i/>
        <vertAlign val="superscript"/>
        <sz val="11"/>
        <color indexed="8"/>
        <rFont val="Arial"/>
        <family val="2"/>
      </rPr>
      <t>3</t>
    </r>
    <r>
      <rPr>
        <i/>
        <sz val="11"/>
        <color indexed="8"/>
        <rFont val="Arial"/>
        <family val="2"/>
      </rPr>
      <t xml:space="preserve"> + t * c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 xml:space="preserve">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+ (0,5 * c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>) – e</t>
    </r>
    <r>
      <rPr>
        <i/>
        <vertAlign val="subscript"/>
        <sz val="11"/>
        <color indexed="8"/>
        <rFont val="Arial"/>
        <family val="2"/>
      </rPr>
      <t>a</t>
    </r>
    <r>
      <rPr>
        <i/>
        <sz val="11"/>
        <color indexed="8"/>
        <rFont val="Arial"/>
        <family val="2"/>
      </rPr>
      <t>)</t>
    </r>
    <r>
      <rPr>
        <i/>
        <vertAlign val="superscript"/>
        <sz val="11"/>
        <color indexed="8"/>
        <rFont val="Arial"/>
        <family val="2"/>
      </rPr>
      <t>2</t>
    </r>
  </si>
  <si>
    <r>
      <t>A</t>
    </r>
    <r>
      <rPr>
        <i/>
        <vertAlign val="subscript"/>
        <sz val="11"/>
        <color indexed="8"/>
        <rFont val="Arial"/>
        <family val="2"/>
      </rPr>
      <t>s</t>
    </r>
    <r>
      <rPr>
        <i/>
        <sz val="11"/>
        <color indexed="8"/>
        <rFont val="Arial"/>
        <family val="2"/>
      </rPr>
      <t xml:space="preserve"> = (b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 xml:space="preserve"> + </t>
    </r>
    <r>
      <rPr>
        <i/>
        <sz val="11"/>
        <color indexed="8"/>
        <rFont val="Mistral"/>
        <family val="4"/>
      </rPr>
      <t>l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+ c</t>
    </r>
    <r>
      <rPr>
        <i/>
        <vertAlign val="subscript"/>
        <sz val="11"/>
        <color indexed="8"/>
        <rFont val="Arial"/>
        <family val="2"/>
      </rPr>
      <t>eff ,v</t>
    </r>
    <r>
      <rPr>
        <i/>
        <sz val="11"/>
        <color indexed="8"/>
        <rFont val="Arial"/>
        <family val="2"/>
      </rPr>
      <t>) * t</t>
    </r>
  </si>
  <si>
    <r>
      <t>σ</t>
    </r>
    <r>
      <rPr>
        <i/>
        <vertAlign val="subscript"/>
        <sz val="11"/>
        <color indexed="8"/>
        <rFont val="Arial"/>
        <family val="2"/>
      </rPr>
      <t>com,Ed</t>
    </r>
    <r>
      <rPr>
        <i/>
        <sz val="11"/>
        <color indexed="8"/>
        <rFont val="Arial"/>
        <family val="2"/>
      </rPr>
      <t xml:space="preserve"> = (((0,5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– e</t>
    </r>
    <r>
      <rPr>
        <i/>
        <vertAlign val="subscript"/>
        <sz val="11"/>
        <color indexed="8"/>
        <rFont val="Arial"/>
        <family val="2"/>
      </rPr>
      <t>a</t>
    </r>
    <r>
      <rPr>
        <i/>
        <sz val="11"/>
        <color indexed="8"/>
        <rFont val="Arial"/>
        <family val="2"/>
      </rPr>
      <t>) * f</t>
    </r>
    <r>
      <rPr>
        <i/>
        <vertAlign val="subscript"/>
        <sz val="11"/>
        <color indexed="8"/>
        <rFont val="Arial"/>
        <family val="2"/>
      </rPr>
      <t>yb</t>
    </r>
    <r>
      <rPr>
        <i/>
        <sz val="11"/>
        <color indexed="8"/>
        <rFont val="Arial"/>
        <family val="2"/>
      </rPr>
      <t>) / (0,5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</t>
    </r>
  </si>
  <si>
    <r>
      <t>A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= (t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>) + (b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t) + (t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+ (b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 * t) + A</t>
    </r>
    <r>
      <rPr>
        <i/>
        <vertAlign val="subscript"/>
        <sz val="11"/>
        <color indexed="8"/>
        <rFont val="Arial"/>
        <family val="2"/>
      </rPr>
      <t>s, red</t>
    </r>
  </si>
  <si>
    <r>
      <t>Z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= (((t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* (c – (0,5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– (0,5 * t))) + (2 *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))) + ((t * h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* (0,5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))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))) + ((b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* t)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+ (A</t>
    </r>
    <r>
      <rPr>
        <i/>
        <vertAlign val="subscript"/>
        <sz val="11"/>
        <color indexed="8"/>
        <rFont val="Arial"/>
        <family val="2"/>
      </rPr>
      <t>s, red</t>
    </r>
    <r>
      <rPr>
        <i/>
        <sz val="11"/>
        <color indexed="8"/>
        <rFont val="Arial"/>
        <family val="2"/>
      </rPr>
      <t xml:space="preserve"> * 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a</t>
    </r>
    <r>
      <rPr>
        <i/>
        <sz val="11"/>
        <color indexed="8"/>
        <rFont val="Arial"/>
        <family val="2"/>
      </rPr>
      <t>))) / A</t>
    </r>
    <r>
      <rPr>
        <i/>
        <vertAlign val="subscript"/>
        <sz val="11"/>
        <color indexed="8"/>
        <rFont val="Arial"/>
        <family val="2"/>
      </rPr>
      <t>eff</t>
    </r>
  </si>
  <si>
    <r>
      <t>((1/12 * t * (b</t>
    </r>
    <r>
      <rPr>
        <i/>
        <vertAlign val="subscript"/>
        <sz val="11"/>
        <color indexed="8"/>
        <rFont val="Arial"/>
        <family val="2"/>
      </rPr>
      <t>t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))³) + (t * (b</t>
    </r>
    <r>
      <rPr>
        <i/>
        <vertAlign val="subscript"/>
        <sz val="11"/>
        <color indexed="8"/>
        <rFont val="Arial"/>
        <family val="2"/>
      </rPr>
      <t>t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)) * (z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+ ( ½ * (b</t>
    </r>
    <r>
      <rPr>
        <i/>
        <vertAlign val="subscript"/>
        <sz val="11"/>
        <color indexed="8"/>
        <rFont val="Arial"/>
        <family val="2"/>
      </rPr>
      <t>t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)))))²)) + ((1/12 * t * h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>³) + (t * h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* (½ * h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>)²)) + ((1/12 * t * h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>³) + (t * h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 * ((h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z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+ (½ * h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)))²)) + </t>
    </r>
  </si>
  <si>
    <r>
      <t>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z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))²)) + ((1/12 * 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 * t³) + (b</t>
    </r>
    <r>
      <rPr>
        <i/>
        <vertAlign val="subscript"/>
        <sz val="11"/>
        <color indexed="8"/>
        <rFont val="Arial"/>
        <family val="2"/>
      </rPr>
      <t>eff 1,v</t>
    </r>
    <r>
      <rPr>
        <i/>
        <sz val="11"/>
        <color indexed="8"/>
        <rFont val="Arial"/>
        <family val="2"/>
      </rPr>
      <t xml:space="preserve"> * t * 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z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)²)) + ((1/12 * 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* t</t>
    </r>
    <r>
      <rPr>
        <i/>
        <vertAlign val="subscript"/>
        <sz val="11"/>
        <color indexed="8"/>
        <rFont val="Arial"/>
        <family val="2"/>
      </rPr>
      <t>red</t>
    </r>
    <r>
      <rPr>
        <i/>
        <sz val="11"/>
        <color indexed="8"/>
        <rFont val="Arial"/>
        <family val="2"/>
      </rPr>
      <t>³) + (b</t>
    </r>
    <r>
      <rPr>
        <i/>
        <vertAlign val="subscript"/>
        <sz val="11"/>
        <color indexed="8"/>
        <rFont val="Arial"/>
        <family val="2"/>
      </rPr>
      <t>eff 2,v</t>
    </r>
    <r>
      <rPr>
        <i/>
        <sz val="11"/>
        <color indexed="8"/>
        <rFont val="Arial"/>
        <family val="2"/>
      </rPr>
      <t xml:space="preserve"> * t</t>
    </r>
    <r>
      <rPr>
        <i/>
        <vertAlign val="subscript"/>
        <sz val="11"/>
        <color indexed="8"/>
        <rFont val="Arial"/>
        <family val="2"/>
      </rPr>
      <t>red</t>
    </r>
    <r>
      <rPr>
        <i/>
        <sz val="11"/>
        <color indexed="8"/>
        <rFont val="Arial"/>
        <family val="2"/>
      </rPr>
      <t xml:space="preserve"> * 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z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)²)) + (I</t>
    </r>
    <r>
      <rPr>
        <i/>
        <vertAlign val="subscript"/>
        <sz val="11"/>
        <color indexed="8"/>
        <rFont val="Arial"/>
        <family val="2"/>
      </rPr>
      <t>rc, red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afronding, red</t>
    </r>
    <r>
      <rPr>
        <i/>
        <sz val="11"/>
        <color indexed="8"/>
        <rFont val="Arial"/>
        <family val="2"/>
      </rPr>
      <t xml:space="preserve"> * ((h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z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))²)) + </t>
    </r>
  </si>
  <si>
    <r>
      <t>h</t>
    </r>
    <r>
      <rPr>
        <i/>
        <vertAlign val="subscript"/>
        <sz val="11"/>
        <color indexed="8"/>
        <rFont val="Arial"/>
        <family val="2"/>
      </rPr>
      <t>eff1,m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>eff1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</si>
  <si>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h</t>
    </r>
    <r>
      <rPr>
        <i/>
        <vertAlign val="subscript"/>
        <sz val="11"/>
        <color indexed="8"/>
        <rFont val="Arial"/>
        <family val="2"/>
      </rPr>
      <t>eff1</t>
    </r>
    <r>
      <rPr>
        <i/>
        <sz val="11"/>
        <color indexed="8"/>
        <rFont val="Arial"/>
        <family val="2"/>
      </rPr>
      <t xml:space="preserve"> = b</t>
    </r>
    <r>
      <rPr>
        <i/>
        <vertAlign val="subscript"/>
        <sz val="11"/>
        <color indexed="8"/>
        <rFont val="Arial"/>
        <family val="2"/>
      </rPr>
      <t>e1</t>
    </r>
    <r>
      <rPr>
        <i/>
        <sz val="11"/>
        <color indexed="8"/>
        <rFont val="Arial"/>
        <family val="2"/>
      </rPr>
      <t xml:space="preserve"> = 0,4 * b</t>
    </r>
    <r>
      <rPr>
        <i/>
        <vertAlign val="subscript"/>
        <sz val="11"/>
        <color indexed="8"/>
        <rFont val="Arial"/>
        <family val="2"/>
      </rPr>
      <t>eff</t>
    </r>
  </si>
  <si>
    <r>
      <t>h</t>
    </r>
    <r>
      <rPr>
        <i/>
        <vertAlign val="subscript"/>
        <sz val="11"/>
        <color indexed="8"/>
        <rFont val="Arial"/>
        <family val="2"/>
      </rPr>
      <t>eff2</t>
    </r>
    <r>
      <rPr>
        <i/>
        <sz val="11"/>
        <color indexed="8"/>
        <rFont val="Arial"/>
        <family val="2"/>
      </rPr>
      <t xml:space="preserve"> = b</t>
    </r>
    <r>
      <rPr>
        <i/>
        <vertAlign val="subscript"/>
        <sz val="11"/>
        <color indexed="8"/>
        <rFont val="Arial"/>
        <family val="2"/>
      </rPr>
      <t>e2</t>
    </r>
    <r>
      <rPr>
        <i/>
        <sz val="11"/>
        <color indexed="8"/>
        <rFont val="Arial"/>
        <family val="2"/>
      </rPr>
      <t xml:space="preserve"> = 0,6 * b</t>
    </r>
    <r>
      <rPr>
        <i/>
        <vertAlign val="subscript"/>
        <sz val="11"/>
        <color indexed="8"/>
        <rFont val="Arial"/>
        <family val="2"/>
      </rPr>
      <t>eff</t>
    </r>
  </si>
  <si>
    <r>
      <t>h</t>
    </r>
    <r>
      <rPr>
        <i/>
        <vertAlign val="subscript"/>
        <sz val="11"/>
        <color indexed="8"/>
        <rFont val="Arial"/>
        <family val="2"/>
      </rPr>
      <t>eff1,v</t>
    </r>
    <r>
      <rPr>
        <i/>
        <sz val="11"/>
        <color indexed="8"/>
        <rFont val="Arial"/>
        <family val="2"/>
      </rPr>
      <t xml:space="preserve"> = h</t>
    </r>
    <r>
      <rPr>
        <i/>
        <vertAlign val="subscript"/>
        <sz val="11"/>
        <color indexed="8"/>
        <rFont val="Arial"/>
        <family val="2"/>
      </rPr>
      <t xml:space="preserve">eff1,m </t>
    </r>
    <r>
      <rPr>
        <i/>
        <sz val="11"/>
        <color indexed="8"/>
        <rFont val="Arial"/>
        <family val="2"/>
      </rPr>
      <t>- r</t>
    </r>
    <r>
      <rPr>
        <i/>
        <vertAlign val="subscript"/>
        <sz val="11"/>
        <color indexed="8"/>
        <rFont val="Arial"/>
        <family val="2"/>
      </rPr>
      <t>m</t>
    </r>
  </si>
  <si>
    <r>
      <t>h</t>
    </r>
    <r>
      <rPr>
        <i/>
        <vertAlign val="subscript"/>
        <sz val="11"/>
        <color indexed="8"/>
        <rFont val="Arial"/>
        <family val="2"/>
      </rPr>
      <t xml:space="preserve">eff2,v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</t>
    </r>
    <r>
      <rPr>
        <i/>
        <vertAlign val="subscript"/>
        <sz val="11"/>
        <color indexed="8"/>
        <rFont val="Arial"/>
        <family val="2"/>
      </rPr>
      <t>2</t>
    </r>
    <r>
      <rPr>
        <i/>
        <sz val="11"/>
        <color indexed="8"/>
        <rFont val="Arial"/>
        <family val="2"/>
      </rPr>
      <t xml:space="preserve"> = 0,6 * b</t>
    </r>
    <r>
      <rPr>
        <i/>
        <vertAlign val="subscript"/>
        <sz val="11"/>
        <color indexed="8"/>
        <rFont val="Arial"/>
        <family val="2"/>
      </rPr>
      <t>eff</t>
    </r>
  </si>
  <si>
    <r>
      <t>A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= (t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+ (2 *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>) + (b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t) + (t * (b</t>
    </r>
    <r>
      <rPr>
        <i/>
        <vertAlign val="subscript"/>
        <sz val="11"/>
        <color indexed="8"/>
        <rFont val="Arial"/>
        <family val="2"/>
      </rPr>
      <t>t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))) + (t * h</t>
    </r>
    <r>
      <rPr>
        <i/>
        <vertAlign val="subscript"/>
        <sz val="11"/>
        <color indexed="8"/>
        <rFont val="Arial"/>
        <family val="2"/>
      </rPr>
      <t>eff2,v</t>
    </r>
    <r>
      <rPr>
        <i/>
        <sz val="11"/>
        <color indexed="8"/>
        <rFont val="Arial"/>
        <family val="2"/>
      </rPr>
      <t>) + (t * h</t>
    </r>
    <r>
      <rPr>
        <i/>
        <vertAlign val="subscript"/>
        <sz val="11"/>
        <color indexed="8"/>
        <rFont val="Arial"/>
        <family val="2"/>
      </rPr>
      <t>eff1,v</t>
    </r>
    <r>
      <rPr>
        <i/>
        <sz val="11"/>
        <color indexed="8"/>
        <rFont val="Arial"/>
        <family val="2"/>
      </rPr>
      <t>) + 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>) + (b</t>
    </r>
    <r>
      <rPr>
        <i/>
        <vertAlign val="subscript"/>
        <sz val="11"/>
        <color indexed="8"/>
        <rFont val="Arial"/>
        <family val="2"/>
      </rPr>
      <t>eff1,v</t>
    </r>
    <r>
      <rPr>
        <i/>
        <sz val="11"/>
        <color indexed="8"/>
        <rFont val="Arial"/>
        <family val="2"/>
      </rPr>
      <t xml:space="preserve"> * t) + A</t>
    </r>
    <r>
      <rPr>
        <i/>
        <vertAlign val="subscript"/>
        <sz val="11"/>
        <color indexed="8"/>
        <rFont val="Arial"/>
        <family val="2"/>
      </rPr>
      <t>s, red</t>
    </r>
  </si>
  <si>
    <r>
      <t>z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= [ ((t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* (c – (½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– (½ * t))) + (2 *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))) + ((t * (b</t>
    </r>
    <r>
      <rPr>
        <i/>
        <vertAlign val="subscript"/>
        <sz val="11"/>
        <color indexed="8"/>
        <rFont val="Arial"/>
        <family val="2"/>
      </rPr>
      <t>t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))) *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+ (½ * (b</t>
    </r>
    <r>
      <rPr>
        <i/>
        <vertAlign val="subscript"/>
        <sz val="11"/>
        <color indexed="8"/>
        <rFont val="Arial"/>
        <family val="2"/>
      </rPr>
      <t xml:space="preserve">t </t>
    </r>
    <r>
      <rPr>
        <i/>
        <sz val="11"/>
        <color indexed="8"/>
        <rFont val="Arial"/>
        <family val="2"/>
      </rPr>
      <t>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>))))) + ((t * h</t>
    </r>
    <r>
      <rPr>
        <i/>
        <vertAlign val="subscript"/>
        <sz val="11"/>
        <color indexed="8"/>
        <rFont val="Arial"/>
        <family val="2"/>
      </rPr>
      <t>eff2,v</t>
    </r>
    <r>
      <rPr>
        <i/>
        <sz val="11"/>
        <color indexed="8"/>
        <rFont val="Arial"/>
        <family val="2"/>
      </rPr>
      <t>) * (g</t>
    </r>
    <r>
      <rPr>
        <i/>
        <vertAlign val="subscript"/>
        <sz val="11"/>
        <color indexed="8"/>
        <rFont val="Arial"/>
        <family val="2"/>
      </rPr>
      <t>r</t>
    </r>
    <r>
      <rPr>
        <i/>
        <sz val="11"/>
        <color indexed="8"/>
        <rFont val="Arial"/>
        <family val="2"/>
      </rPr>
      <t xml:space="preserve"> + b</t>
    </r>
    <r>
      <rPr>
        <i/>
        <vertAlign val="subscript"/>
        <sz val="11"/>
        <color indexed="8"/>
        <rFont val="Arial"/>
        <family val="2"/>
      </rPr>
      <t>t</t>
    </r>
    <r>
      <rPr>
        <i/>
        <sz val="11"/>
        <color indexed="8"/>
        <rFont val="Arial"/>
        <family val="2"/>
      </rPr>
      <t xml:space="preserve"> + (½ * h</t>
    </r>
    <r>
      <rPr>
        <i/>
        <vertAlign val="subscript"/>
        <sz val="11"/>
        <color indexed="8"/>
        <rFont val="Arial"/>
        <family val="2"/>
      </rPr>
      <t>eff2,v</t>
    </r>
    <r>
      <rPr>
        <i/>
        <sz val="11"/>
        <color indexed="8"/>
        <rFont val="Arial"/>
        <family val="2"/>
      </rPr>
      <t>))) + ((t * h</t>
    </r>
    <r>
      <rPr>
        <i/>
        <vertAlign val="subscript"/>
        <sz val="11"/>
        <color indexed="8"/>
        <rFont val="Arial"/>
        <family val="2"/>
      </rPr>
      <t>eff1,v</t>
    </r>
    <r>
      <rPr>
        <i/>
        <sz val="11"/>
        <color indexed="8"/>
        <rFont val="Arial"/>
        <family val="2"/>
      </rPr>
      <t>) * 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(½ * h</t>
    </r>
    <r>
      <rPr>
        <i/>
        <vertAlign val="subscript"/>
        <sz val="11"/>
        <color indexed="8"/>
        <rFont val="Arial"/>
        <family val="2"/>
      </rPr>
      <t>eff1,v</t>
    </r>
    <r>
      <rPr>
        <i/>
        <sz val="11"/>
        <color indexed="8"/>
        <rFont val="Arial"/>
        <family val="2"/>
      </rPr>
      <t>))) + 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* 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))) + ((b</t>
    </r>
    <r>
      <rPr>
        <i/>
        <vertAlign val="subscript"/>
        <sz val="11"/>
        <color indexed="8"/>
        <rFont val="Arial"/>
        <family val="2"/>
      </rPr>
      <t>eff1,v</t>
    </r>
    <r>
      <rPr>
        <i/>
        <sz val="11"/>
        <color indexed="8"/>
        <rFont val="Arial"/>
        <family val="2"/>
      </rPr>
      <t xml:space="preserve"> * t) * 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>) + (A</t>
    </r>
    <r>
      <rPr>
        <i/>
        <vertAlign val="subscript"/>
        <sz val="11"/>
        <color indexed="8"/>
        <rFont val="Arial"/>
        <family val="2"/>
      </rPr>
      <t>s,red</t>
    </r>
    <r>
      <rPr>
        <i/>
        <sz val="11"/>
        <color indexed="8"/>
        <rFont val="Arial"/>
        <family val="2"/>
      </rPr>
      <t xml:space="preserve"> * 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b</t>
    </r>
    <r>
      <rPr>
        <i/>
        <vertAlign val="subscript"/>
        <sz val="11"/>
        <color indexed="8"/>
        <rFont val="Arial"/>
        <family val="2"/>
      </rPr>
      <t>t</t>
    </r>
    <r>
      <rPr>
        <i/>
        <sz val="11"/>
        <color indexed="8"/>
        <rFont val="Arial"/>
        <family val="2"/>
      </rPr>
      <t>)) ] / A</t>
    </r>
    <r>
      <rPr>
        <i/>
        <vertAlign val="subscript"/>
        <sz val="11"/>
        <color indexed="8"/>
        <rFont val="Arial"/>
        <family val="2"/>
      </rPr>
      <t>eff</t>
    </r>
  </si>
  <si>
    <r>
      <t>((1/12 * t * c</t>
    </r>
    <r>
      <rPr>
        <i/>
        <vertAlign val="subscript"/>
        <sz val="11"/>
        <color indexed="8"/>
        <rFont val="Arial"/>
        <family val="2"/>
      </rPr>
      <t>eff,v</t>
    </r>
    <r>
      <rPr>
        <i/>
        <sz val="11"/>
        <color indexed="8"/>
        <rFont val="Arial"/>
        <family val="2"/>
      </rPr>
      <t>³) + (t</t>
    </r>
    <r>
      <rPr>
        <i/>
        <vertAlign val="subscript"/>
        <sz val="11"/>
        <color indexed="8"/>
        <rFont val="Arial"/>
        <family val="2"/>
      </rPr>
      <t>red</t>
    </r>
    <r>
      <rPr>
        <i/>
        <sz val="11"/>
        <color indexed="8"/>
        <rFont val="Arial"/>
        <family val="2"/>
      </rPr>
      <t xml:space="preserve"> * c</t>
    </r>
    <r>
      <rPr>
        <i/>
        <vertAlign val="subscript"/>
        <sz val="11"/>
        <color indexed="8"/>
        <rFont val="Arial"/>
        <family val="2"/>
      </rPr>
      <t>eff,v</t>
    </r>
    <r>
      <rPr>
        <i/>
        <sz val="11"/>
        <color indexed="8"/>
        <rFont val="Arial"/>
        <family val="2"/>
      </rPr>
      <t xml:space="preserve"> * ((h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- z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)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+ (½ * c</t>
    </r>
    <r>
      <rPr>
        <i/>
        <vertAlign val="subscript"/>
        <sz val="11"/>
        <color indexed="8"/>
        <rFont val="Arial"/>
        <family val="2"/>
      </rPr>
      <t>eff,v</t>
    </r>
    <r>
      <rPr>
        <i/>
        <sz val="11"/>
        <color indexed="8"/>
        <rFont val="Arial"/>
        <family val="2"/>
      </rPr>
      <t>)))²))</t>
    </r>
  </si>
  <si>
    <r>
      <t>W</t>
    </r>
    <r>
      <rPr>
        <i/>
        <vertAlign val="subscript"/>
        <sz val="11"/>
        <color indexed="8"/>
        <rFont val="Arial"/>
        <family val="2"/>
      </rPr>
      <t>eff,y,com</t>
    </r>
    <r>
      <rPr>
        <i/>
        <sz val="11"/>
        <color indexed="8"/>
        <rFont val="Arial"/>
        <family val="2"/>
      </rPr>
      <t xml:space="preserve"> = I</t>
    </r>
    <r>
      <rPr>
        <i/>
        <vertAlign val="subscript"/>
        <sz val="11"/>
        <color indexed="8"/>
        <rFont val="Arial"/>
        <family val="2"/>
      </rPr>
      <t>eff,y</t>
    </r>
    <r>
      <rPr>
        <i/>
        <sz val="11"/>
        <color indexed="8"/>
        <rFont val="Arial"/>
        <family val="2"/>
      </rPr>
      <t xml:space="preserve"> / (h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z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+t/2)</t>
    </r>
  </si>
  <si>
    <r>
      <t>W</t>
    </r>
    <r>
      <rPr>
        <i/>
        <vertAlign val="subscript"/>
        <sz val="11"/>
        <color indexed="8"/>
        <rFont val="Arial"/>
        <family val="2"/>
      </rPr>
      <t>eff,y,ten</t>
    </r>
    <r>
      <rPr>
        <i/>
        <sz val="11"/>
        <color indexed="8"/>
        <rFont val="Arial"/>
        <family val="2"/>
      </rPr>
      <t xml:space="preserve"> = I</t>
    </r>
    <r>
      <rPr>
        <i/>
        <vertAlign val="subscript"/>
        <sz val="11"/>
        <color indexed="8"/>
        <rFont val="Arial"/>
        <family val="2"/>
      </rPr>
      <t>eff,y</t>
    </r>
    <r>
      <rPr>
        <i/>
        <sz val="11"/>
        <color indexed="8"/>
        <rFont val="Arial"/>
        <family val="2"/>
      </rPr>
      <t xml:space="preserve"> / (z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+t/2)</t>
    </r>
  </si>
  <si>
    <r>
      <t>A</t>
    </r>
    <r>
      <rPr>
        <i/>
        <vertAlign val="subscript"/>
        <sz val="11"/>
        <color indexed="8"/>
        <rFont val="Arial"/>
        <family val="2"/>
      </rPr>
      <t>g, sh</t>
    </r>
  </si>
  <si>
    <t>Bepaling initiële ligging van de neutrale lijn</t>
  </si>
  <si>
    <r>
      <t>Plaatdeel 2</t>
    </r>
    <r>
      <rPr>
        <sz val="11"/>
        <color indexed="8"/>
        <rFont val="Arial"/>
        <family val="2"/>
      </rPr>
      <t xml:space="preserve"> (drukflens)</t>
    </r>
  </si>
  <si>
    <r>
      <t>Plaatdeel 3</t>
    </r>
    <r>
      <rPr>
        <sz val="11"/>
        <color indexed="8"/>
        <rFont val="Arial"/>
        <family val="2"/>
      </rPr>
      <t xml:space="preserve"> (lip)</t>
    </r>
  </si>
  <si>
    <t>Bepaling effectieve doorsnede van het lijf</t>
  </si>
  <si>
    <t>Bepaling eigenschappen effectieve profieldoorsnede</t>
  </si>
  <si>
    <t>eff. traagheidsmoment</t>
  </si>
  <si>
    <t>eff. weerstandsmoment</t>
  </si>
  <si>
    <r>
      <t>C - M</t>
    </r>
    <r>
      <rPr>
        <b/>
        <vertAlign val="subscript"/>
        <sz val="16"/>
        <color indexed="8"/>
        <rFont val="Arial"/>
        <family val="2"/>
      </rPr>
      <t>y</t>
    </r>
    <r>
      <rPr>
        <b/>
        <sz val="16"/>
        <color indexed="8"/>
        <rFont val="Arial"/>
        <family val="2"/>
      </rPr>
      <t>: Berekening effectieve profieldoorsnede</t>
    </r>
  </si>
  <si>
    <r>
      <t>χ</t>
    </r>
    <r>
      <rPr>
        <i/>
        <vertAlign val="subscript"/>
        <sz val="11"/>
        <color indexed="8"/>
        <rFont val="Arial"/>
        <family val="2"/>
      </rPr>
      <t>d</t>
    </r>
  </si>
  <si>
    <r>
      <t>ρ</t>
    </r>
    <r>
      <rPr>
        <sz val="11"/>
        <color indexed="8"/>
        <rFont val="Mathematica1"/>
        <charset val="2"/>
      </rPr>
      <t>£</t>
    </r>
    <r>
      <rPr>
        <i/>
        <sz val="11"/>
        <color indexed="8"/>
        <rFont val="Arial"/>
        <family val="2"/>
      </rPr>
      <t>1</t>
    </r>
  </si>
  <si>
    <r>
      <t>ρ</t>
    </r>
    <r>
      <rPr>
        <sz val="11"/>
        <color indexed="8"/>
        <rFont val="Mathematica1"/>
        <charset val="2"/>
      </rPr>
      <t>£1,0</t>
    </r>
  </si>
  <si>
    <r>
      <t>ρ</t>
    </r>
    <r>
      <rPr>
        <sz val="11"/>
        <color indexed="8"/>
        <rFont val="Mathematica1"/>
        <charset val="2"/>
      </rPr>
      <t>£</t>
    </r>
    <r>
      <rPr>
        <i/>
        <sz val="11"/>
        <color indexed="8"/>
        <rFont val="Arial"/>
        <family val="2"/>
      </rPr>
      <t>1,0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</si>
  <si>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1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 1</t>
    </r>
    <r>
      <rPr>
        <i/>
        <sz val="11"/>
        <color indexed="8"/>
        <rFont val="Arial"/>
        <family val="2"/>
      </rPr>
      <t xml:space="preserve"> = 0,5 * b</t>
    </r>
    <r>
      <rPr>
        <i/>
        <vertAlign val="subscript"/>
        <sz val="11"/>
        <color indexed="8"/>
        <rFont val="Arial"/>
        <family val="2"/>
      </rPr>
      <t>eff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</si>
  <si>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2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 2</t>
    </r>
    <r>
      <rPr>
        <i/>
        <sz val="11"/>
        <color indexed="8"/>
        <rFont val="Arial"/>
        <family val="2"/>
      </rPr>
      <t xml:space="preserve"> = 0,5 * b</t>
    </r>
    <r>
      <rPr>
        <i/>
        <vertAlign val="subscript"/>
        <sz val="11"/>
        <color indexed="8"/>
        <rFont val="Arial"/>
        <family val="2"/>
      </rPr>
      <t>eff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</si>
  <si>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1,m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eff 1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</si>
  <si>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2,m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eff 2</t>
    </r>
    <r>
      <rPr>
        <i/>
        <sz val="11"/>
        <color indexed="8"/>
        <rFont val="Arial"/>
        <family val="2"/>
      </rPr>
      <t xml:space="preserve"> + g</t>
    </r>
    <r>
      <rPr>
        <i/>
        <vertAlign val="subscript"/>
        <sz val="11"/>
        <color indexed="8"/>
        <rFont val="Arial"/>
        <family val="2"/>
      </rPr>
      <t>r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</si>
  <si>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1,v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eff 1,m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</si>
  <si>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r>
      <t>b</t>
    </r>
    <r>
      <rPr>
        <i/>
        <vertAlign val="subscript"/>
        <sz val="11"/>
        <color indexed="8"/>
        <rFont val="Arial"/>
        <family val="2"/>
      </rPr>
      <t xml:space="preserve">eff 2,v </t>
    </r>
    <r>
      <rPr>
        <i/>
        <sz val="11"/>
        <color indexed="8"/>
        <rFont val="Arial"/>
        <family val="2"/>
      </rPr>
      <t>= b</t>
    </r>
    <r>
      <rPr>
        <i/>
        <vertAlign val="subscript"/>
        <sz val="11"/>
        <color indexed="8"/>
        <rFont val="Arial"/>
        <family val="2"/>
      </rPr>
      <t>eff 2,m</t>
    </r>
    <r>
      <rPr>
        <i/>
        <sz val="11"/>
        <color indexed="8"/>
        <rFont val="Arial"/>
        <family val="2"/>
      </rPr>
      <t xml:space="preserve"> - r</t>
    </r>
    <r>
      <rPr>
        <i/>
        <vertAlign val="subscript"/>
        <sz val="11"/>
        <color indexed="8"/>
        <rFont val="Arial"/>
        <family val="2"/>
      </rPr>
      <t>m</t>
    </r>
  </si>
  <si>
    <t>,k</t>
  </si>
  <si>
    <r>
      <t>I</t>
    </r>
    <r>
      <rPr>
        <i/>
        <vertAlign val="subscript"/>
        <sz val="11"/>
        <color indexed="8"/>
        <rFont val="Arial"/>
        <family val="2"/>
      </rPr>
      <t>eff,y</t>
    </r>
    <r>
      <rPr>
        <i/>
        <sz val="11"/>
        <color indexed="8"/>
        <rFont val="Arial"/>
        <family val="2"/>
      </rPr>
      <t xml:space="preserve"> =((1/12 * 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t³) + (b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 * t * z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>²)) + (2 * (I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 xml:space="preserve"> + (A</t>
    </r>
    <r>
      <rPr>
        <i/>
        <vertAlign val="subscript"/>
        <sz val="11"/>
        <color indexed="8"/>
        <rFont val="Arial"/>
        <family val="2"/>
      </rPr>
      <t>afronding</t>
    </r>
    <r>
      <rPr>
        <i/>
        <sz val="11"/>
        <color indexed="8"/>
        <rFont val="Arial"/>
        <family val="2"/>
      </rPr>
      <t xml:space="preserve"> * (z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– e</t>
    </r>
    <r>
      <rPr>
        <i/>
        <vertAlign val="subscript"/>
        <sz val="11"/>
        <color indexed="8"/>
        <rFont val="Arial"/>
        <family val="2"/>
      </rPr>
      <t>rc</t>
    </r>
    <r>
      <rPr>
        <i/>
        <sz val="11"/>
        <color indexed="8"/>
        <rFont val="Arial"/>
        <family val="2"/>
      </rPr>
      <t>))²))) + ((1/12 * 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³) + ((t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>) * (z</t>
    </r>
    <r>
      <rPr>
        <i/>
        <vertAlign val="subscript"/>
        <sz val="11"/>
        <color indexed="8"/>
        <rFont val="Arial"/>
        <family val="2"/>
      </rPr>
      <t>eff</t>
    </r>
    <r>
      <rPr>
        <i/>
        <sz val="11"/>
        <color indexed="8"/>
        <rFont val="Arial"/>
        <family val="2"/>
      </rPr>
      <t xml:space="preserve"> – (r</t>
    </r>
    <r>
      <rPr>
        <i/>
        <vertAlign val="subscript"/>
        <sz val="11"/>
        <color indexed="8"/>
        <rFont val="Arial"/>
        <family val="2"/>
      </rPr>
      <t>m</t>
    </r>
    <r>
      <rPr>
        <i/>
        <sz val="11"/>
        <color indexed="8"/>
        <rFont val="Arial"/>
        <family val="2"/>
      </rPr>
      <t xml:space="preserve"> + (½ * c</t>
    </r>
    <r>
      <rPr>
        <i/>
        <vertAlign val="subscript"/>
        <sz val="11"/>
        <color indexed="8"/>
        <rFont val="Arial"/>
        <family val="2"/>
      </rPr>
      <t>v</t>
    </r>
    <r>
      <rPr>
        <i/>
        <sz val="11"/>
        <color indexed="8"/>
        <rFont val="Arial"/>
        <family val="2"/>
      </rPr>
      <t xml:space="preserve">)))²)) + 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</si>
</sst>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49"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i/>
      <vertAlign val="subscript"/>
      <sz val="11"/>
      <color indexed="8"/>
      <name val="Arial"/>
      <family val="2"/>
    </font>
    <font>
      <vertAlign val="superscript"/>
      <sz val="11"/>
      <color indexed="8"/>
      <name val="Arial"/>
      <family val="2"/>
    </font>
    <font>
      <sz val="11"/>
      <color indexed="10"/>
      <name val="Arial"/>
      <family val="2"/>
    </font>
    <font>
      <sz val="11"/>
      <color indexed="30"/>
      <name val="Arial"/>
      <family val="2"/>
    </font>
    <font>
      <b/>
      <u/>
      <sz val="16"/>
      <color indexed="8"/>
      <name val="Calibri"/>
      <family val="2"/>
    </font>
    <font>
      <u/>
      <sz val="11"/>
      <color indexed="8"/>
      <name val="Arial"/>
      <family val="2"/>
    </font>
    <font>
      <b/>
      <sz val="14"/>
      <color indexed="8"/>
      <name val="Arial"/>
      <family val="2"/>
    </font>
    <font>
      <sz val="12.65"/>
      <color indexed="8"/>
      <name val="Arial"/>
      <family val="2"/>
    </font>
    <font>
      <sz val="12"/>
      <color indexed="8"/>
      <name val="Arial"/>
      <family val="2"/>
    </font>
    <font>
      <i/>
      <vertAlign val="subscript"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9"/>
      <name val="Arial"/>
      <family val="2"/>
    </font>
    <font>
      <i/>
      <sz val="9"/>
      <name val="Calibri"/>
      <family val="2"/>
    </font>
    <font>
      <i/>
      <sz val="9"/>
      <color indexed="8"/>
      <name val="Arial"/>
      <family val="2"/>
    </font>
    <font>
      <b/>
      <sz val="30"/>
      <color indexed="8"/>
      <name val="Calibri"/>
      <family val="2"/>
    </font>
    <font>
      <sz val="11"/>
      <color indexed="8"/>
      <name val="Mistral"/>
      <family val="4"/>
    </font>
    <font>
      <b/>
      <u/>
      <sz val="16"/>
      <color indexed="8"/>
      <name val="Arial"/>
      <family val="2"/>
    </font>
    <font>
      <sz val="11"/>
      <color indexed="9"/>
      <name val="Arial"/>
      <family val="2"/>
    </font>
    <font>
      <sz val="12"/>
      <color indexed="8"/>
      <name val="Times New Roman"/>
      <family val="1"/>
    </font>
    <font>
      <vertAlign val="subscript"/>
      <sz val="12"/>
      <color indexed="8"/>
      <name val="Times New Roman"/>
      <family val="1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0"/>
      <color indexed="8"/>
      <name val="Times New Roman"/>
      <family val="1"/>
    </font>
    <font>
      <sz val="8"/>
      <name val="Calibri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indexed="30"/>
      <name val="Arial"/>
      <family val="2"/>
    </font>
    <font>
      <sz val="11"/>
      <color indexed="40"/>
      <name val="Arial"/>
      <family val="2"/>
    </font>
    <font>
      <b/>
      <sz val="16"/>
      <color indexed="8"/>
      <name val="Arial"/>
      <family val="2"/>
    </font>
    <font>
      <i/>
      <sz val="11"/>
      <color indexed="8"/>
      <name val="Arial"/>
      <family val="2"/>
    </font>
    <font>
      <b/>
      <vertAlign val="subscript"/>
      <sz val="16"/>
      <color indexed="8"/>
      <name val="Arial"/>
      <family val="2"/>
    </font>
    <font>
      <i/>
      <sz val="11"/>
      <color indexed="8"/>
      <name val="Calibri"/>
      <family val="2"/>
    </font>
    <font>
      <i/>
      <sz val="11"/>
      <color indexed="8"/>
      <name val="Times New Roman"/>
      <family val="1"/>
    </font>
    <font>
      <i/>
      <sz val="16"/>
      <color indexed="8"/>
      <name val="Mistral"/>
      <family val="4"/>
    </font>
    <font>
      <i/>
      <vertAlign val="subscript"/>
      <sz val="11"/>
      <color indexed="8"/>
      <name val="Times New Roman"/>
      <family val="1"/>
    </font>
    <font>
      <i/>
      <sz val="10"/>
      <color indexed="8"/>
      <name val="Arial"/>
      <family val="2"/>
    </font>
    <font>
      <i/>
      <vertAlign val="subscript"/>
      <sz val="10"/>
      <color indexed="8"/>
      <name val="Arial"/>
      <family val="2"/>
    </font>
    <font>
      <sz val="11"/>
      <name val="Calibri"/>
      <family val="2"/>
    </font>
    <font>
      <i/>
      <vertAlign val="superscript"/>
      <sz val="11"/>
      <color indexed="8"/>
      <name val="Arial"/>
      <family val="2"/>
    </font>
    <font>
      <i/>
      <sz val="11"/>
      <color indexed="8"/>
      <name val="Mistral"/>
      <family val="4"/>
    </font>
    <font>
      <i/>
      <sz val="10"/>
      <color indexed="8"/>
      <name val="Times New Roman"/>
      <family val="1"/>
    </font>
    <font>
      <i/>
      <sz val="12"/>
      <color indexed="8"/>
      <name val="Arial"/>
      <family val="2"/>
    </font>
    <font>
      <i/>
      <vertAlign val="subscript"/>
      <sz val="16"/>
      <color indexed="8"/>
      <name val="Times New Roman"/>
      <family val="1"/>
    </font>
    <font>
      <sz val="11"/>
      <color indexed="8"/>
      <name val="Mathematica1"/>
      <charset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8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Fill="1" applyBorder="1"/>
    <xf numFmtId="0" fontId="1" fillId="0" borderId="0" xfId="0" applyFont="1"/>
    <xf numFmtId="0" fontId="1" fillId="0" borderId="0" xfId="0" applyFont="1" applyFill="1" applyBorder="1"/>
    <xf numFmtId="0" fontId="1" fillId="0" borderId="0" xfId="0" applyFont="1" applyBorder="1"/>
    <xf numFmtId="0" fontId="2" fillId="0" borderId="0" xfId="0" applyFont="1" applyFill="1" applyBorder="1"/>
    <xf numFmtId="0" fontId="3" fillId="0" borderId="0" xfId="0" applyFont="1" applyFill="1" applyBorder="1" applyProtection="1"/>
    <xf numFmtId="0" fontId="6" fillId="0" borderId="0" xfId="0" applyFont="1" applyFill="1" applyBorder="1"/>
    <xf numFmtId="0" fontId="1" fillId="0" borderId="3" xfId="0" applyFont="1" applyFill="1" applyBorder="1"/>
    <xf numFmtId="0" fontId="1" fillId="0" borderId="4" xfId="0" applyFont="1" applyBorder="1"/>
    <xf numFmtId="0" fontId="1" fillId="0" borderId="1" xfId="0" applyFont="1" applyFill="1" applyBorder="1"/>
    <xf numFmtId="0" fontId="1" fillId="0" borderId="4" xfId="0" applyFont="1" applyFill="1" applyBorder="1"/>
    <xf numFmtId="0" fontId="1" fillId="0" borderId="2" xfId="0" applyFont="1" applyBorder="1"/>
    <xf numFmtId="0" fontId="1" fillId="0" borderId="6" xfId="0" applyFont="1" applyBorder="1"/>
    <xf numFmtId="0" fontId="2" fillId="0" borderId="1" xfId="0" applyFont="1" applyFill="1" applyBorder="1"/>
    <xf numFmtId="0" fontId="1" fillId="0" borderId="2" xfId="0" applyFont="1" applyFill="1" applyBorder="1"/>
    <xf numFmtId="0" fontId="3" fillId="0" borderId="2" xfId="0" applyFont="1" applyFill="1" applyBorder="1" applyProtection="1"/>
    <xf numFmtId="0" fontId="8" fillId="0" borderId="0" xfId="0" applyFont="1"/>
    <xf numFmtId="0" fontId="2" fillId="0" borderId="7" xfId="0" applyFont="1" applyFill="1" applyBorder="1"/>
    <xf numFmtId="0" fontId="2" fillId="0" borderId="0" xfId="0" applyFont="1" applyFill="1" applyBorder="1" applyAlignment="1">
      <alignment horizontal="left"/>
    </xf>
    <xf numFmtId="0" fontId="1" fillId="0" borderId="6" xfId="0" applyFont="1" applyFill="1" applyBorder="1"/>
    <xf numFmtId="0" fontId="1" fillId="0" borderId="8" xfId="0" applyFont="1" applyFill="1" applyBorder="1"/>
    <xf numFmtId="2" fontId="7" fillId="0" borderId="0" xfId="0" applyNumberFormat="1" applyFont="1" applyFill="1" applyBorder="1"/>
    <xf numFmtId="0" fontId="6" fillId="0" borderId="0" xfId="0" applyFont="1" applyFill="1" applyBorder="1" applyProtection="1"/>
    <xf numFmtId="0" fontId="1" fillId="0" borderId="0" xfId="0" applyFont="1" applyAlignment="1">
      <alignment horizontal="left"/>
    </xf>
    <xf numFmtId="0" fontId="1" fillId="0" borderId="0" xfId="0" applyFont="1" applyFill="1"/>
    <xf numFmtId="0" fontId="12" fillId="0" borderId="0" xfId="0" applyFont="1" applyBorder="1"/>
    <xf numFmtId="0" fontId="12" fillId="0" borderId="0" xfId="0" applyFont="1" applyFill="1"/>
    <xf numFmtId="0" fontId="6" fillId="0" borderId="0" xfId="0" applyFont="1"/>
    <xf numFmtId="0" fontId="1" fillId="0" borderId="9" xfId="0" quotePrefix="1" applyFont="1" applyBorder="1" applyAlignment="1">
      <alignment horizontal="left"/>
    </xf>
    <xf numFmtId="0" fontId="2" fillId="0" borderId="0" xfId="0" applyFont="1" applyFill="1"/>
    <xf numFmtId="2" fontId="1" fillId="0" borderId="0" xfId="0" applyNumberFormat="1" applyFont="1" applyFill="1" applyBorder="1" applyAlignment="1"/>
    <xf numFmtId="0" fontId="1" fillId="0" borderId="0" xfId="0" applyFont="1" applyFill="1" applyAlignment="1"/>
    <xf numFmtId="0" fontId="1" fillId="0" borderId="0" xfId="0" applyFont="1" applyAlignment="1"/>
    <xf numFmtId="2" fontId="1" fillId="0" borderId="0" xfId="0" applyNumberFormat="1" applyFont="1" applyAlignment="1">
      <alignment horizontal="left"/>
    </xf>
    <xf numFmtId="0" fontId="0" fillId="0" borderId="3" xfId="0" applyBorder="1"/>
    <xf numFmtId="0" fontId="1" fillId="0" borderId="3" xfId="0" applyFont="1" applyBorder="1"/>
    <xf numFmtId="0" fontId="2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0" fillId="0" borderId="10" xfId="0" applyFont="1" applyFill="1" applyBorder="1"/>
    <xf numFmtId="0" fontId="3" fillId="0" borderId="11" xfId="0" applyFont="1" applyFill="1" applyBorder="1"/>
    <xf numFmtId="0" fontId="10" fillId="0" borderId="10" xfId="0" applyFont="1" applyBorder="1"/>
    <xf numFmtId="0" fontId="1" fillId="0" borderId="11" xfId="0" applyFont="1" applyFill="1" applyBorder="1"/>
    <xf numFmtId="2" fontId="1" fillId="0" borderId="0" xfId="0" applyNumberFormat="1" applyFont="1" applyFill="1" applyBorder="1"/>
    <xf numFmtId="0" fontId="12" fillId="0" borderId="11" xfId="0" applyFont="1" applyBorder="1"/>
    <xf numFmtId="0" fontId="6" fillId="0" borderId="0" xfId="0" applyFont="1" applyFill="1" applyBorder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0" fillId="0" borderId="8" xfId="0" applyBorder="1"/>
    <xf numFmtId="0" fontId="14" fillId="0" borderId="0" xfId="0" applyFont="1" applyBorder="1"/>
    <xf numFmtId="0" fontId="0" fillId="0" borderId="4" xfId="0" applyBorder="1"/>
    <xf numFmtId="0" fontId="1" fillId="0" borderId="0" xfId="0" applyFont="1" applyBorder="1" applyAlignment="1">
      <alignment horizontal="right"/>
    </xf>
    <xf numFmtId="0" fontId="1" fillId="0" borderId="4" xfId="0" applyFont="1" applyFill="1" applyBorder="1" applyAlignment="1">
      <alignment horizontal="left"/>
    </xf>
    <xf numFmtId="2" fontId="1" fillId="0" borderId="0" xfId="0" applyNumberFormat="1" applyFont="1" applyFill="1" applyAlignment="1">
      <alignment horizontal="right"/>
    </xf>
    <xf numFmtId="0" fontId="3" fillId="0" borderId="16" xfId="0" applyFont="1" applyFill="1" applyBorder="1"/>
    <xf numFmtId="1" fontId="3" fillId="0" borderId="9" xfId="0" applyNumberFormat="1" applyFont="1" applyFill="1" applyBorder="1"/>
    <xf numFmtId="0" fontId="3" fillId="0" borderId="9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2" fontId="1" fillId="0" borderId="16" xfId="0" applyNumberFormat="1" applyFont="1" applyFill="1" applyBorder="1"/>
    <xf numFmtId="2" fontId="1" fillId="0" borderId="9" xfId="0" applyNumberFormat="1" applyFont="1" applyFill="1" applyBorder="1"/>
    <xf numFmtId="2" fontId="1" fillId="0" borderId="17" xfId="0" applyNumberFormat="1" applyFont="1" applyFill="1" applyBorder="1"/>
    <xf numFmtId="2" fontId="1" fillId="0" borderId="18" xfId="0" applyNumberFormat="1" applyFont="1" applyFill="1" applyBorder="1"/>
    <xf numFmtId="2" fontId="1" fillId="0" borderId="19" xfId="0" applyNumberFormat="1" applyFont="1" applyFill="1" applyBorder="1"/>
    <xf numFmtId="2" fontId="1" fillId="0" borderId="20" xfId="0" applyNumberFormat="1" applyFont="1" applyFill="1" applyBorder="1"/>
    <xf numFmtId="0" fontId="1" fillId="0" borderId="9" xfId="0" applyFont="1" applyFill="1" applyBorder="1"/>
    <xf numFmtId="2" fontId="3" fillId="0" borderId="9" xfId="0" applyNumberFormat="1" applyFont="1" applyFill="1" applyBorder="1"/>
    <xf numFmtId="0" fontId="1" fillId="0" borderId="9" xfId="0" applyFont="1" applyBorder="1"/>
    <xf numFmtId="2" fontId="1" fillId="0" borderId="23" xfId="0" applyNumberFormat="1" applyFont="1" applyFill="1" applyBorder="1"/>
    <xf numFmtId="0" fontId="15" fillId="0" borderId="0" xfId="0" applyFont="1"/>
    <xf numFmtId="0" fontId="16" fillId="0" borderId="0" xfId="0" applyFont="1"/>
    <xf numFmtId="0" fontId="12" fillId="0" borderId="3" xfId="0" applyFont="1" applyBorder="1"/>
    <xf numFmtId="0" fontId="1" fillId="0" borderId="8" xfId="0" applyFont="1" applyBorder="1"/>
    <xf numFmtId="0" fontId="10" fillId="0" borderId="1" xfId="0" applyFont="1" applyFill="1" applyBorder="1"/>
    <xf numFmtId="0" fontId="17" fillId="0" borderId="7" xfId="0" applyFont="1" applyFill="1" applyBorder="1"/>
    <xf numFmtId="0" fontId="15" fillId="0" borderId="0" xfId="0" applyFont="1" applyAlignment="1"/>
    <xf numFmtId="0" fontId="1" fillId="0" borderId="14" xfId="0" applyFont="1" applyFill="1" applyBorder="1"/>
    <xf numFmtId="0" fontId="1" fillId="0" borderId="14" xfId="0" applyFont="1" applyBorder="1"/>
    <xf numFmtId="0" fontId="12" fillId="0" borderId="0" xfId="0" applyFont="1" applyAlignment="1">
      <alignment horizontal="center"/>
    </xf>
    <xf numFmtId="0" fontId="2" fillId="0" borderId="24" xfId="0" applyFont="1" applyBorder="1" applyAlignment="1"/>
    <xf numFmtId="0" fontId="2" fillId="0" borderId="25" xfId="0" applyFont="1" applyBorder="1" applyAlignment="1">
      <alignment horizontal="left"/>
    </xf>
    <xf numFmtId="0" fontId="9" fillId="0" borderId="7" xfId="0" applyFont="1" applyBorder="1"/>
    <xf numFmtId="0" fontId="9" fillId="0" borderId="3" xfId="0" applyFont="1" applyBorder="1"/>
    <xf numFmtId="0" fontId="18" fillId="0" borderId="0" xfId="0" applyFont="1" applyAlignment="1">
      <alignment vertical="center" textRotation="90"/>
    </xf>
    <xf numFmtId="0" fontId="1" fillId="0" borderId="0" xfId="0" applyFont="1" applyFill="1" applyBorder="1" applyAlignment="1"/>
    <xf numFmtId="0" fontId="2" fillId="0" borderId="3" xfId="0" applyFont="1" applyFill="1" applyBorder="1"/>
    <xf numFmtId="0" fontId="3" fillId="0" borderId="3" xfId="0" applyFont="1" applyFill="1" applyBorder="1"/>
    <xf numFmtId="0" fontId="0" fillId="0" borderId="5" xfId="0" applyBorder="1"/>
    <xf numFmtId="0" fontId="0" fillId="0" borderId="26" xfId="0" applyBorder="1"/>
    <xf numFmtId="0" fontId="0" fillId="0" borderId="27" xfId="0" applyBorder="1"/>
    <xf numFmtId="0" fontId="1" fillId="0" borderId="27" xfId="0" applyFont="1" applyFill="1" applyBorder="1"/>
    <xf numFmtId="0" fontId="2" fillId="0" borderId="27" xfId="0" applyFont="1" applyFill="1" applyBorder="1"/>
    <xf numFmtId="0" fontId="1" fillId="0" borderId="28" xfId="0" applyFont="1" applyFill="1" applyBorder="1"/>
    <xf numFmtId="0" fontId="2" fillId="0" borderId="0" xfId="0" applyFont="1" applyFill="1" applyBorder="1" applyAlignment="1"/>
    <xf numFmtId="0" fontId="1" fillId="0" borderId="15" xfId="0" applyFont="1" applyFill="1" applyBorder="1"/>
    <xf numFmtId="0" fontId="1" fillId="0" borderId="0" xfId="0" applyFont="1" applyBorder="1" applyAlignment="1"/>
    <xf numFmtId="0" fontId="1" fillId="0" borderId="0" xfId="0" quotePrefix="1" applyFont="1" applyBorder="1" applyAlignment="1">
      <alignment horizontal="left"/>
    </xf>
    <xf numFmtId="0" fontId="1" fillId="0" borderId="23" xfId="0" quotePrefix="1" applyFont="1" applyBorder="1" applyAlignment="1">
      <alignment horizontal="left"/>
    </xf>
    <xf numFmtId="2" fontId="3" fillId="0" borderId="19" xfId="0" applyNumberFormat="1" applyFont="1" applyFill="1" applyBorder="1"/>
    <xf numFmtId="0" fontId="17" fillId="0" borderId="1" xfId="0" applyFont="1" applyFill="1" applyBorder="1"/>
    <xf numFmtId="0" fontId="1" fillId="0" borderId="23" xfId="0" applyFont="1" applyFill="1" applyBorder="1" applyAlignment="1">
      <alignment horizontal="left"/>
    </xf>
    <xf numFmtId="0" fontId="1" fillId="0" borderId="9" xfId="0" quotePrefix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20" fillId="0" borderId="0" xfId="0" applyFont="1"/>
    <xf numFmtId="165" fontId="1" fillId="0" borderId="0" xfId="0" applyNumberFormat="1" applyFont="1" applyFill="1" applyBorder="1" applyAlignment="1">
      <alignment horizontal="left"/>
    </xf>
    <xf numFmtId="0" fontId="21" fillId="0" borderId="0" xfId="0" applyFont="1"/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12" xfId="0" applyBorder="1"/>
    <xf numFmtId="0" fontId="1" fillId="0" borderId="23" xfId="0" applyFont="1" applyFill="1" applyBorder="1"/>
    <xf numFmtId="0" fontId="1" fillId="0" borderId="31" xfId="0" applyFont="1" applyFill="1" applyBorder="1"/>
    <xf numFmtId="0" fontId="0" fillId="0" borderId="32" xfId="0" applyBorder="1"/>
    <xf numFmtId="0" fontId="1" fillId="0" borderId="29" xfId="0" applyFont="1" applyFill="1" applyBorder="1"/>
    <xf numFmtId="0" fontId="1" fillId="0" borderId="33" xfId="0" applyFont="1" applyBorder="1"/>
    <xf numFmtId="0" fontId="6" fillId="0" borderId="0" xfId="0" applyFont="1" applyBorder="1"/>
    <xf numFmtId="0" fontId="22" fillId="0" borderId="0" xfId="0" applyFont="1"/>
    <xf numFmtId="0" fontId="24" fillId="0" borderId="0" xfId="0" applyFont="1"/>
    <xf numFmtId="0" fontId="25" fillId="0" borderId="0" xfId="0" applyFont="1"/>
    <xf numFmtId="0" fontId="24" fillId="0" borderId="0" xfId="0" applyFont="1" applyFill="1" applyBorder="1"/>
    <xf numFmtId="0" fontId="26" fillId="0" borderId="0" xfId="0" applyFont="1"/>
    <xf numFmtId="0" fontId="25" fillId="0" borderId="0" xfId="0" applyFont="1" applyBorder="1"/>
    <xf numFmtId="0" fontId="0" fillId="0" borderId="0" xfId="0" applyFill="1" applyBorder="1"/>
    <xf numFmtId="0" fontId="0" fillId="0" borderId="0" xfId="0" applyFill="1"/>
    <xf numFmtId="164" fontId="1" fillId="0" borderId="23" xfId="0" applyNumberFormat="1" applyFont="1" applyFill="1" applyBorder="1"/>
    <xf numFmtId="164" fontId="1" fillId="0" borderId="9" xfId="0" applyNumberFormat="1" applyFont="1" applyFill="1" applyBorder="1"/>
    <xf numFmtId="164" fontId="1" fillId="0" borderId="17" xfId="0" applyNumberFormat="1" applyFont="1" applyFill="1" applyBorder="1"/>
    <xf numFmtId="0" fontId="19" fillId="0" borderId="0" xfId="0" applyFont="1" applyFill="1" applyBorder="1"/>
    <xf numFmtId="2" fontId="1" fillId="0" borderId="0" xfId="0" applyNumberFormat="1" applyFont="1" applyFill="1"/>
    <xf numFmtId="2" fontId="1" fillId="0" borderId="0" xfId="0" applyNumberFormat="1" applyFont="1" applyFill="1" applyAlignment="1">
      <alignment horizontal="left"/>
    </xf>
    <xf numFmtId="0" fontId="1" fillId="0" borderId="12" xfId="0" applyFont="1" applyFill="1" applyBorder="1"/>
    <xf numFmtId="0" fontId="9" fillId="0" borderId="1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165" fontId="1" fillId="0" borderId="9" xfId="0" applyNumberFormat="1" applyFont="1" applyFill="1" applyBorder="1"/>
    <xf numFmtId="165" fontId="1" fillId="0" borderId="17" xfId="0" applyNumberFormat="1" applyFont="1" applyFill="1" applyBorder="1"/>
    <xf numFmtId="165" fontId="1" fillId="0" borderId="0" xfId="0" applyNumberFormat="1" applyFont="1" applyBorder="1"/>
    <xf numFmtId="2" fontId="1" fillId="0" borderId="0" xfId="0" applyNumberFormat="1" applyFont="1" applyFill="1" applyBorder="1" applyAlignment="1">
      <alignment horizontal="right"/>
    </xf>
    <xf numFmtId="0" fontId="28" fillId="0" borderId="0" xfId="0" applyFont="1" applyBorder="1" applyAlignment="1">
      <alignment horizontal="left"/>
    </xf>
    <xf numFmtId="0" fontId="1" fillId="0" borderId="0" xfId="0" applyFont="1" applyAlignment="1">
      <alignment vertical="center" textRotation="90"/>
    </xf>
    <xf numFmtId="1" fontId="21" fillId="0" borderId="1" xfId="0" applyNumberFormat="1" applyFont="1" applyFill="1" applyBorder="1" applyAlignment="1">
      <alignment horizontal="left"/>
    </xf>
    <xf numFmtId="1" fontId="21" fillId="0" borderId="0" xfId="0" applyNumberFormat="1" applyFont="1" applyAlignment="1">
      <alignment vertical="center" textRotation="90"/>
    </xf>
    <xf numFmtId="0" fontId="21" fillId="0" borderId="1" xfId="0" applyFont="1" applyFill="1" applyBorder="1" applyAlignment="1">
      <alignment horizontal="left"/>
    </xf>
    <xf numFmtId="1" fontId="21" fillId="0" borderId="0" xfId="0" applyNumberFormat="1" applyFont="1" applyAlignment="1">
      <alignment horizontal="left" vertical="center"/>
    </xf>
    <xf numFmtId="0" fontId="3" fillId="0" borderId="0" xfId="0" applyFont="1" applyFill="1" applyBorder="1"/>
    <xf numFmtId="0" fontId="1" fillId="0" borderId="0" xfId="0" quotePrefix="1" applyFont="1" applyBorder="1"/>
    <xf numFmtId="0" fontId="2" fillId="0" borderId="0" xfId="0" applyFont="1" applyBorder="1" applyAlignment="1"/>
    <xf numFmtId="1" fontId="21" fillId="0" borderId="0" xfId="0" applyNumberFormat="1" applyFont="1" applyFill="1" applyBorder="1" applyAlignment="1">
      <alignment horizontal="left"/>
    </xf>
    <xf numFmtId="0" fontId="3" fillId="0" borderId="3" xfId="0" applyFont="1" applyFill="1" applyBorder="1" applyProtection="1"/>
    <xf numFmtId="2" fontId="30" fillId="0" borderId="0" xfId="0" applyNumberFormat="1" applyFont="1"/>
    <xf numFmtId="2" fontId="31" fillId="0" borderId="0" xfId="0" applyNumberFormat="1" applyFont="1" applyFill="1" applyBorder="1"/>
    <xf numFmtId="2" fontId="31" fillId="0" borderId="0" xfId="0" applyNumberFormat="1" applyFont="1" applyBorder="1"/>
    <xf numFmtId="165" fontId="31" fillId="0" borderId="0" xfId="0" applyNumberFormat="1" applyFont="1" applyBorder="1"/>
    <xf numFmtId="164" fontId="31" fillId="0" borderId="0" xfId="0" applyNumberFormat="1" applyFont="1" applyBorder="1"/>
    <xf numFmtId="0" fontId="32" fillId="0" borderId="1" xfId="0" applyFont="1" applyFill="1" applyBorder="1" applyAlignment="1">
      <alignment vertical="center"/>
    </xf>
    <xf numFmtId="0" fontId="30" fillId="0" borderId="0" xfId="0" applyFont="1" applyBorder="1" applyAlignment="1">
      <alignment vertical="distributed"/>
    </xf>
    <xf numFmtId="0" fontId="31" fillId="0" borderId="0" xfId="0" applyFont="1" applyBorder="1"/>
    <xf numFmtId="165" fontId="30" fillId="0" borderId="0" xfId="0" applyNumberFormat="1" applyFont="1" applyFill="1"/>
    <xf numFmtId="165" fontId="30" fillId="0" borderId="0" xfId="0" applyNumberFormat="1" applyFont="1" applyFill="1" applyBorder="1"/>
    <xf numFmtId="165" fontId="30" fillId="0" borderId="9" xfId="0" applyNumberFormat="1" applyFont="1" applyFill="1" applyBorder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34" fillId="0" borderId="0" xfId="0" applyFont="1" applyFill="1" applyBorder="1"/>
    <xf numFmtId="0" fontId="34" fillId="0" borderId="0" xfId="0" applyFont="1" applyBorder="1"/>
    <xf numFmtId="0" fontId="34" fillId="0" borderId="1" xfId="0" applyFont="1" applyFill="1" applyBorder="1"/>
    <xf numFmtId="0" fontId="33" fillId="0" borderId="0" xfId="0" applyFont="1"/>
    <xf numFmtId="0" fontId="34" fillId="0" borderId="0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2" fontId="34" fillId="0" borderId="0" xfId="0" applyNumberFormat="1" applyFont="1" applyFill="1" applyBorder="1" applyAlignment="1">
      <alignment horizontal="right"/>
    </xf>
    <xf numFmtId="0" fontId="34" fillId="0" borderId="0" xfId="0" applyFont="1" applyFill="1" applyBorder="1" applyAlignment="1">
      <alignment horizontal="right"/>
    </xf>
    <xf numFmtId="0" fontId="36" fillId="0" borderId="1" xfId="0" applyFont="1" applyBorder="1"/>
    <xf numFmtId="0" fontId="34" fillId="0" borderId="1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34" fillId="0" borderId="7" xfId="0" applyFont="1" applyFill="1" applyBorder="1"/>
    <xf numFmtId="0" fontId="37" fillId="0" borderId="1" xfId="0" applyFont="1" applyBorder="1"/>
    <xf numFmtId="0" fontId="34" fillId="0" borderId="1" xfId="0" applyFont="1" applyBorder="1"/>
    <xf numFmtId="0" fontId="34" fillId="0" borderId="5" xfId="0" applyFont="1" applyBorder="1"/>
    <xf numFmtId="0" fontId="34" fillId="0" borderId="5" xfId="0" applyFont="1" applyFill="1" applyBorder="1"/>
    <xf numFmtId="0" fontId="34" fillId="0" borderId="0" xfId="0" applyFont="1" applyAlignment="1">
      <alignment horizontal="right"/>
    </xf>
    <xf numFmtId="2" fontId="34" fillId="0" borderId="0" xfId="0" applyNumberFormat="1" applyFont="1" applyFill="1" applyAlignment="1">
      <alignment horizontal="right"/>
    </xf>
    <xf numFmtId="0" fontId="34" fillId="0" borderId="0" xfId="0" applyFont="1"/>
    <xf numFmtId="0" fontId="34" fillId="0" borderId="7" xfId="0" applyFont="1" applyBorder="1"/>
    <xf numFmtId="0" fontId="38" fillId="0" borderId="1" xfId="0" applyFont="1" applyBorder="1"/>
    <xf numFmtId="0" fontId="34" fillId="0" borderId="13" xfId="0" applyFont="1" applyFill="1" applyBorder="1"/>
    <xf numFmtId="0" fontId="2" fillId="0" borderId="7" xfId="0" applyFont="1" applyBorder="1"/>
    <xf numFmtId="0" fontId="34" fillId="0" borderId="30" xfId="0" applyFont="1" applyBorder="1"/>
    <xf numFmtId="0" fontId="34" fillId="0" borderId="21" xfId="0" applyFont="1" applyFill="1" applyBorder="1"/>
    <xf numFmtId="0" fontId="34" fillId="0" borderId="21" xfId="0" applyFont="1" applyBorder="1"/>
    <xf numFmtId="0" fontId="34" fillId="0" borderId="9" xfId="0" applyFont="1" applyFill="1" applyBorder="1"/>
    <xf numFmtId="0" fontId="34" fillId="0" borderId="22" xfId="0" applyFont="1" applyBorder="1"/>
    <xf numFmtId="0" fontId="34" fillId="0" borderId="23" xfId="0" applyFont="1" applyFill="1" applyBorder="1"/>
    <xf numFmtId="0" fontId="34" fillId="0" borderId="17" xfId="0" applyFont="1" applyFill="1" applyBorder="1"/>
    <xf numFmtId="0" fontId="34" fillId="0" borderId="14" xfId="0" applyFont="1" applyFill="1" applyBorder="1"/>
    <xf numFmtId="0" fontId="34" fillId="0" borderId="15" xfId="0" applyFont="1" applyFill="1" applyBorder="1"/>
    <xf numFmtId="0" fontId="34" fillId="0" borderId="23" xfId="0" applyFont="1" applyFill="1" applyBorder="1" applyAlignment="1">
      <alignment horizontal="left"/>
    </xf>
    <xf numFmtId="0" fontId="34" fillId="0" borderId="9" xfId="0" applyFont="1" applyBorder="1" applyAlignment="1">
      <alignment horizontal="left"/>
    </xf>
    <xf numFmtId="0" fontId="40" fillId="0" borderId="0" xfId="0" applyFont="1" applyBorder="1"/>
    <xf numFmtId="0" fontId="34" fillId="0" borderId="9" xfId="0" applyFont="1" applyFill="1" applyBorder="1" applyAlignment="1">
      <alignment horizontal="left"/>
    </xf>
    <xf numFmtId="0" fontId="34" fillId="0" borderId="23" xfId="0" applyFont="1" applyBorder="1" applyAlignment="1">
      <alignment horizontal="left"/>
    </xf>
    <xf numFmtId="0" fontId="34" fillId="0" borderId="17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3" fillId="0" borderId="0" xfId="0" applyFont="1"/>
    <xf numFmtId="0" fontId="42" fillId="0" borderId="0" xfId="0" applyFont="1"/>
    <xf numFmtId="0" fontId="3" fillId="0" borderId="0" xfId="0" applyFont="1" applyAlignment="1"/>
    <xf numFmtId="0" fontId="45" fillId="0" borderId="0" xfId="0" applyFont="1"/>
    <xf numFmtId="0" fontId="46" fillId="0" borderId="5" xfId="0" applyFont="1" applyFill="1" applyBorder="1"/>
    <xf numFmtId="0" fontId="0" fillId="0" borderId="0" xfId="0" applyFont="1"/>
    <xf numFmtId="2" fontId="0" fillId="0" borderId="0" xfId="0" applyNumberFormat="1" applyFont="1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7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0" xfId="0" applyFont="1" applyFill="1" applyBorder="1"/>
    <xf numFmtId="0" fontId="2" fillId="0" borderId="40" xfId="0" applyFont="1" applyBorder="1"/>
    <xf numFmtId="0" fontId="24" fillId="0" borderId="4" xfId="0" applyFont="1" applyBorder="1"/>
    <xf numFmtId="0" fontId="2" fillId="0" borderId="41" xfId="0" applyFont="1" applyBorder="1"/>
    <xf numFmtId="164" fontId="3" fillId="0" borderId="42" xfId="0" applyNumberFormat="1" applyFont="1" applyFill="1" applyBorder="1" applyProtection="1"/>
    <xf numFmtId="164" fontId="1" fillId="0" borderId="4" xfId="0" applyNumberFormat="1" applyFont="1" applyFill="1" applyBorder="1" applyAlignment="1"/>
    <xf numFmtId="164" fontId="3" fillId="0" borderId="19" xfId="0" applyNumberFormat="1" applyFont="1" applyFill="1" applyBorder="1"/>
    <xf numFmtId="2" fontId="1" fillId="0" borderId="42" xfId="0" applyNumberFormat="1" applyFont="1" applyFill="1" applyBorder="1"/>
    <xf numFmtId="164" fontId="1" fillId="0" borderId="4" xfId="0" applyNumberFormat="1" applyFont="1" applyFill="1" applyBorder="1"/>
    <xf numFmtId="164" fontId="1" fillId="0" borderId="19" xfId="0" applyNumberFormat="1" applyFont="1" applyFill="1" applyBorder="1"/>
    <xf numFmtId="2" fontId="1" fillId="0" borderId="42" xfId="0" applyNumberFormat="1" applyFont="1" applyFill="1" applyBorder="1" applyAlignment="1">
      <alignment horizontal="right"/>
    </xf>
    <xf numFmtId="2" fontId="1" fillId="0" borderId="19" xfId="0" applyNumberFormat="1" applyFont="1" applyFill="1" applyBorder="1" applyAlignment="1">
      <alignment horizontal="right"/>
    </xf>
    <xf numFmtId="164" fontId="1" fillId="0" borderId="19" xfId="0" applyNumberFormat="1" applyFont="1" applyFill="1" applyBorder="1" applyAlignment="1">
      <alignment horizontal="right"/>
    </xf>
    <xf numFmtId="2" fontId="1" fillId="0" borderId="20" xfId="0" applyNumberFormat="1" applyFont="1" applyFill="1" applyBorder="1" applyAlignment="1">
      <alignment horizontal="right"/>
    </xf>
    <xf numFmtId="0" fontId="34" fillId="0" borderId="0" xfId="0" applyFont="1" applyFill="1" applyBorder="1" applyAlignment="1">
      <alignment horizontal="left"/>
    </xf>
    <xf numFmtId="164" fontId="31" fillId="0" borderId="0" xfId="0" applyNumberFormat="1" applyFont="1" applyFill="1" applyBorder="1"/>
    <xf numFmtId="0" fontId="1" fillId="0" borderId="0" xfId="0" quotePrefix="1" applyFont="1" applyFill="1" applyBorder="1"/>
    <xf numFmtId="0" fontId="36" fillId="0" borderId="0" xfId="0" applyFont="1"/>
    <xf numFmtId="2" fontId="34" fillId="0" borderId="0" xfId="0" applyNumberFormat="1" applyFont="1" applyFill="1" applyBorder="1"/>
    <xf numFmtId="0" fontId="36" fillId="0" borderId="0" xfId="0" applyFont="1" applyBorder="1"/>
    <xf numFmtId="2" fontId="3" fillId="0" borderId="0" xfId="0" applyNumberFormat="1" applyFont="1" applyFill="1" applyBorder="1"/>
    <xf numFmtId="0" fontId="2" fillId="0" borderId="41" xfId="0" applyFont="1" applyFill="1" applyBorder="1"/>
    <xf numFmtId="164" fontId="1" fillId="0" borderId="19" xfId="0" applyNumberFormat="1" applyFont="1" applyFill="1" applyBorder="1" applyAlignment="1"/>
    <xf numFmtId="2" fontId="3" fillId="0" borderId="20" xfId="0" applyNumberFormat="1" applyFont="1" applyFill="1" applyBorder="1"/>
    <xf numFmtId="0" fontId="0" fillId="0" borderId="0" xfId="0" applyFont="1" applyBorder="1"/>
    <xf numFmtId="165" fontId="1" fillId="0" borderId="19" xfId="0" applyNumberFormat="1" applyFont="1" applyBorder="1"/>
    <xf numFmtId="165" fontId="1" fillId="0" borderId="20" xfId="0" applyNumberFormat="1" applyFont="1" applyBorder="1"/>
    <xf numFmtId="0" fontId="1" fillId="0" borderId="2" xfId="0" applyFont="1" applyBorder="1" applyAlignment="1">
      <alignment horizontal="left"/>
    </xf>
    <xf numFmtId="0" fontId="34" fillId="0" borderId="2" xfId="0" applyFont="1" applyBorder="1" applyAlignment="1">
      <alignment horizontal="left"/>
    </xf>
    <xf numFmtId="2" fontId="1" fillId="0" borderId="2" xfId="0" applyNumberFormat="1" applyFont="1" applyFill="1" applyBorder="1" applyAlignment="1">
      <alignment horizontal="right"/>
    </xf>
    <xf numFmtId="0" fontId="34" fillId="2" borderId="0" xfId="0" applyFont="1" applyFill="1"/>
    <xf numFmtId="0" fontId="1" fillId="2" borderId="0" xfId="0" applyFont="1" applyFill="1" applyBorder="1" applyAlignment="1"/>
    <xf numFmtId="165" fontId="1" fillId="0" borderId="4" xfId="0" applyNumberFormat="1" applyFont="1" applyFill="1" applyBorder="1" applyAlignment="1">
      <alignment wrapText="1"/>
    </xf>
    <xf numFmtId="0" fontId="1" fillId="0" borderId="0" xfId="0" applyFont="1" applyBorder="1" applyAlignment="1">
      <alignment horizontal="left"/>
    </xf>
    <xf numFmtId="2" fontId="29" fillId="0" borderId="1" xfId="0" applyNumberFormat="1" applyFont="1" applyFill="1" applyBorder="1" applyAlignment="1">
      <alignment horizontal="center"/>
    </xf>
    <xf numFmtId="2" fontId="29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3" fillId="0" borderId="38" xfId="0" applyFont="1" applyBorder="1" applyAlignment="1">
      <alignment horizontal="center" vertical="center" textRotation="90"/>
    </xf>
    <xf numFmtId="0" fontId="33" fillId="0" borderId="34" xfId="0" applyFont="1" applyBorder="1" applyAlignment="1">
      <alignment horizontal="center" vertical="center" textRotation="90"/>
    </xf>
    <xf numFmtId="0" fontId="33" fillId="0" borderId="39" xfId="0" applyFont="1" applyBorder="1" applyAlignment="1">
      <alignment horizontal="center" vertical="center" textRotation="90"/>
    </xf>
    <xf numFmtId="0" fontId="9" fillId="0" borderId="1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0" fillId="0" borderId="0" xfId="0" applyFont="1" applyBorder="1" applyAlignment="1">
      <alignment horizontal="left" vertical="distributed"/>
    </xf>
    <xf numFmtId="0" fontId="30" fillId="0" borderId="4" xfId="0" applyFont="1" applyBorder="1" applyAlignment="1">
      <alignment horizontal="left" vertical="distributed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30" fillId="0" borderId="0" xfId="0" applyFont="1" applyBorder="1" applyAlignment="1">
      <alignment horizontal="center" vertical="distributed"/>
    </xf>
    <xf numFmtId="0" fontId="2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2" fillId="0" borderId="35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6" xfId="0" applyFont="1" applyBorder="1" applyAlignment="1">
      <alignment horizontal="left"/>
    </xf>
    <xf numFmtId="0" fontId="2" fillId="0" borderId="34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0" fontId="9" fillId="0" borderId="37" xfId="0" applyFont="1" applyBorder="1" applyAlignment="1">
      <alignment horizontal="left"/>
    </xf>
    <xf numFmtId="0" fontId="9" fillId="0" borderId="3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9" fillId="0" borderId="37" xfId="0" applyFont="1" applyFill="1" applyBorder="1" applyAlignment="1">
      <alignment horizontal="left"/>
    </xf>
    <xf numFmtId="0" fontId="9" fillId="0" borderId="32" xfId="0" applyFont="1" applyFill="1" applyBorder="1" applyAlignment="1">
      <alignment horizontal="left"/>
    </xf>
    <xf numFmtId="0" fontId="1" fillId="0" borderId="2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34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34" xfId="0" applyFont="1" applyFill="1" applyBorder="1" applyAlignment="1">
      <alignment horizontal="left" vertical="center"/>
    </xf>
    <xf numFmtId="0" fontId="10" fillId="0" borderId="11" xfId="0" applyFont="1" applyBorder="1" applyAlignment="1">
      <alignment horizontal="left"/>
    </xf>
    <xf numFmtId="0" fontId="10" fillId="0" borderId="12" xfId="0" applyFont="1" applyBorder="1" applyAlignment="1">
      <alignment horizontal="left"/>
    </xf>
    <xf numFmtId="0" fontId="1" fillId="0" borderId="34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34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4" xfId="0" quotePrefix="1" applyFont="1" applyFill="1" applyBorder="1" applyAlignment="1">
      <alignment horizontal="center"/>
    </xf>
    <xf numFmtId="0" fontId="1" fillId="0" borderId="0" xfId="0" quotePrefix="1" applyFont="1" applyFill="1" applyBorder="1" applyAlignment="1">
      <alignment horizontal="center"/>
    </xf>
    <xf numFmtId="0" fontId="1" fillId="0" borderId="34" xfId="0" applyFont="1" applyBorder="1" applyAlignment="1">
      <alignment horizontal="left"/>
    </xf>
    <xf numFmtId="0" fontId="9" fillId="0" borderId="34" xfId="0" applyFont="1" applyBorder="1" applyAlignment="1">
      <alignment horizontal="left"/>
    </xf>
  </cellXfs>
  <cellStyles count="1">
    <cellStyle name="Standaard" xfId="0" builtinId="0"/>
  </cellStyles>
  <dxfs count="98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42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indexed="4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17"/>
      </font>
      <fill>
        <patternFill>
          <bgColor indexed="10"/>
        </patternFill>
      </fill>
    </dxf>
    <dxf>
      <fill>
        <patternFill>
          <bgColor indexed="42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42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indexed="42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indexed="10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wmf"/><Relationship Id="rId2" Type="http://schemas.openxmlformats.org/officeDocument/2006/relationships/image" Target="../media/image6.wmf"/><Relationship Id="rId1" Type="http://schemas.openxmlformats.org/officeDocument/2006/relationships/image" Target="../media/image3.emf"/><Relationship Id="rId4" Type="http://schemas.openxmlformats.org/officeDocument/2006/relationships/image" Target="../media/image8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238125</xdr:colOff>
      <xdr:row>2</xdr:row>
      <xdr:rowOff>104775</xdr:rowOff>
    </xdr:from>
    <xdr:to>
      <xdr:col>12</xdr:col>
      <xdr:colOff>342900</xdr:colOff>
      <xdr:row>12</xdr:row>
      <xdr:rowOff>152400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43550" y="571500"/>
          <a:ext cx="1838325" cy="209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333375</xdr:colOff>
      <xdr:row>32</xdr:row>
      <xdr:rowOff>38100</xdr:rowOff>
    </xdr:from>
    <xdr:to>
      <xdr:col>7</xdr:col>
      <xdr:colOff>476250</xdr:colOff>
      <xdr:row>39</xdr:row>
      <xdr:rowOff>133350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r="3604"/>
        <a:stretch>
          <a:fillRect/>
        </a:stretch>
      </xdr:blipFill>
      <xdr:spPr bwMode="auto">
        <a:xfrm>
          <a:off x="2895600" y="7496175"/>
          <a:ext cx="2400300" cy="1771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409575</xdr:colOff>
      <xdr:row>70</xdr:row>
      <xdr:rowOff>142875</xdr:rowOff>
    </xdr:from>
    <xdr:to>
      <xdr:col>7</xdr:col>
      <xdr:colOff>781050</xdr:colOff>
      <xdr:row>82</xdr:row>
      <xdr:rowOff>38802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28875" y="1304925"/>
          <a:ext cx="3305175" cy="229622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7.bin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6.bin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5.bin"/><Relationship Id="rId5" Type="http://schemas.openxmlformats.org/officeDocument/2006/relationships/oleObject" Target="../embeddings/oleObject4.bin"/><Relationship Id="rId10" Type="http://schemas.openxmlformats.org/officeDocument/2006/relationships/oleObject" Target="../embeddings/oleObject9.bin"/><Relationship Id="rId4" Type="http://schemas.openxmlformats.org/officeDocument/2006/relationships/oleObject" Target="../embeddings/oleObject3.bin"/><Relationship Id="rId9" Type="http://schemas.openxmlformats.org/officeDocument/2006/relationships/oleObject" Target="../embeddings/oleObject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"/>
  <sheetViews>
    <sheetView zoomScaleNormal="100" workbookViewId="0">
      <selection activeCell="B8" sqref="B8"/>
    </sheetView>
  </sheetViews>
  <sheetFormatPr defaultRowHeight="15"/>
  <cols>
    <col min="1" max="1" width="9.28515625" customWidth="1"/>
    <col min="2" max="2" width="13.85546875" customWidth="1"/>
    <col min="3" max="3" width="8.5703125" customWidth="1"/>
    <col min="4" max="4" width="5.7109375" customWidth="1"/>
    <col min="6" max="6" width="8.28515625" customWidth="1"/>
    <col min="7" max="7" width="7.85546875" customWidth="1"/>
    <col min="8" max="9" width="8.42578125" customWidth="1"/>
    <col min="10" max="10" width="7.7109375" customWidth="1"/>
  </cols>
  <sheetData>
    <row r="1" spans="1:18" ht="23.25">
      <c r="A1" s="173" t="s">
        <v>110</v>
      </c>
      <c r="C1" s="20"/>
    </row>
    <row r="2" spans="1:18" ht="15.75" thickBot="1"/>
    <row r="3" spans="1:18" ht="15" customHeight="1">
      <c r="A3" s="21" t="s">
        <v>7</v>
      </c>
      <c r="B3" s="11"/>
      <c r="C3" s="11"/>
      <c r="D3" s="4"/>
      <c r="E3" s="38"/>
      <c r="F3" s="38"/>
      <c r="G3" s="89" t="s">
        <v>12</v>
      </c>
      <c r="H3" s="90"/>
      <c r="I3" s="11"/>
      <c r="J3" s="4"/>
      <c r="K3" s="38"/>
      <c r="L3" s="38"/>
      <c r="M3" s="52"/>
      <c r="N3" s="266" t="s">
        <v>20</v>
      </c>
    </row>
    <row r="4" spans="1:18">
      <c r="A4" s="172" t="s">
        <v>4</v>
      </c>
      <c r="B4" s="10">
        <v>250</v>
      </c>
      <c r="C4" s="6" t="s">
        <v>3</v>
      </c>
      <c r="D4" s="6"/>
      <c r="E4" s="2"/>
      <c r="F4" s="2"/>
      <c r="G4" s="170" t="s">
        <v>13</v>
      </c>
      <c r="H4" s="151">
        <v>210000</v>
      </c>
      <c r="I4" s="6" t="s">
        <v>15</v>
      </c>
      <c r="J4" s="51"/>
      <c r="K4" s="49"/>
      <c r="L4" s="6"/>
      <c r="M4" s="14"/>
      <c r="N4" s="267"/>
      <c r="O4" s="6"/>
    </row>
    <row r="5" spans="1:18">
      <c r="A5" s="172" t="s">
        <v>5</v>
      </c>
      <c r="B5" s="10">
        <v>75</v>
      </c>
      <c r="C5" s="6" t="s">
        <v>3</v>
      </c>
      <c r="D5" s="6"/>
      <c r="E5" s="2"/>
      <c r="F5" s="2"/>
      <c r="G5" s="170" t="s">
        <v>70</v>
      </c>
      <c r="H5" s="151">
        <v>0.3</v>
      </c>
      <c r="I5" s="6"/>
      <c r="J5" s="7"/>
      <c r="K5" s="7"/>
      <c r="L5" s="7"/>
      <c r="M5" s="14"/>
      <c r="N5" s="267"/>
      <c r="O5" s="6"/>
    </row>
    <row r="6" spans="1:18" ht="18.75">
      <c r="A6" s="172" t="s">
        <v>6</v>
      </c>
      <c r="B6" s="10">
        <v>25</v>
      </c>
      <c r="C6" s="6" t="s">
        <v>3</v>
      </c>
      <c r="D6" s="6"/>
      <c r="E6" s="2"/>
      <c r="F6" s="2"/>
      <c r="G6" s="171" t="s">
        <v>107</v>
      </c>
      <c r="H6" s="10">
        <v>350</v>
      </c>
      <c r="I6" s="6" t="s">
        <v>15</v>
      </c>
      <c r="J6" s="51"/>
      <c r="K6" s="50"/>
      <c r="L6" s="7"/>
      <c r="M6" s="14"/>
      <c r="N6" s="267"/>
      <c r="O6" s="6"/>
    </row>
    <row r="7" spans="1:18" ht="18.75">
      <c r="A7" s="172" t="s">
        <v>2</v>
      </c>
      <c r="B7" s="10">
        <v>2</v>
      </c>
      <c r="C7" s="6" t="s">
        <v>3</v>
      </c>
      <c r="D7" s="6"/>
      <c r="E7" s="2"/>
      <c r="F7" s="2"/>
      <c r="G7" s="170" t="s">
        <v>108</v>
      </c>
      <c r="H7" s="151">
        <v>1</v>
      </c>
      <c r="I7" s="6"/>
      <c r="J7" s="7"/>
      <c r="K7" s="7"/>
      <c r="L7" s="7"/>
      <c r="M7" s="14"/>
      <c r="N7" s="267"/>
      <c r="O7" s="6"/>
    </row>
    <row r="8" spans="1:18" ht="18.75">
      <c r="A8" s="172" t="s">
        <v>1</v>
      </c>
      <c r="B8" s="10">
        <v>3</v>
      </c>
      <c r="C8" s="6" t="s">
        <v>3</v>
      </c>
      <c r="D8" s="6"/>
      <c r="E8" s="2"/>
      <c r="F8" s="2"/>
      <c r="G8" s="170" t="s">
        <v>109</v>
      </c>
      <c r="H8" s="151">
        <v>1</v>
      </c>
      <c r="I8" s="6"/>
      <c r="J8" s="7"/>
      <c r="K8" s="7"/>
      <c r="L8" s="7"/>
      <c r="M8" s="14"/>
      <c r="N8" s="267"/>
      <c r="O8" s="6"/>
    </row>
    <row r="9" spans="1:18">
      <c r="A9" s="161" t="str">
        <f>IF(Profieleigenschappen!C27&lt;=Profieleigenschappen!E27,IF(Profieleigenschappen!C28&lt;=Profieleigenschappen!E28,"Invloed afrondingsstralen mag worden genegeerd","Invl. afrondingsstralen mag niet worden genegeerd"),"Invl. afrondingsstralen mag niet worden genegeerd")</f>
        <v>Invl. afrondingsstralen mag niet worden genegeerd</v>
      </c>
      <c r="B9" s="2"/>
      <c r="C9" s="2"/>
      <c r="D9" s="6"/>
      <c r="E9" s="2"/>
      <c r="F9" s="2"/>
      <c r="G9" s="6"/>
      <c r="H9" s="151"/>
      <c r="I9" s="6"/>
      <c r="J9" s="7"/>
      <c r="K9" s="113"/>
      <c r="L9" s="7"/>
      <c r="M9" s="12"/>
      <c r="N9" s="267"/>
      <c r="O9" s="6"/>
    </row>
    <row r="10" spans="1:18">
      <c r="A10" s="161" t="str">
        <f>IF(Profieleigenschappen!C27&lt;=Profieleigenschappen!E27,IF(Profieleigenschappen!C28&lt;=Profieleigenschappen!E28,"Dit kan door handmatig  r = - 0,5 * t in te voeren"," ")," ")</f>
        <v xml:space="preserve"> </v>
      </c>
      <c r="B10" s="130"/>
      <c r="C10" s="130"/>
      <c r="D10" s="6"/>
      <c r="E10" s="130"/>
      <c r="F10" s="51"/>
      <c r="G10" s="2"/>
      <c r="H10" s="2"/>
      <c r="I10" s="2"/>
      <c r="J10" s="2"/>
      <c r="K10" s="2"/>
      <c r="L10" s="2"/>
      <c r="M10" s="54"/>
      <c r="N10" s="267"/>
      <c r="O10" s="6"/>
    </row>
    <row r="11" spans="1:18">
      <c r="A11" s="1"/>
      <c r="B11" s="130"/>
      <c r="C11" s="130"/>
      <c r="D11" s="6"/>
      <c r="E11" s="130"/>
      <c r="F11" s="97"/>
      <c r="G11" s="97"/>
      <c r="H11" s="97"/>
      <c r="I11" s="2"/>
      <c r="J11" s="6"/>
      <c r="K11" s="6"/>
      <c r="L11" s="6"/>
      <c r="M11" s="14"/>
      <c r="N11" s="267"/>
      <c r="O11" s="6"/>
    </row>
    <row r="12" spans="1:18">
      <c r="A12" s="273" t="str">
        <f>IF(SUM(Profieleigenschappen!I4:I7)=4,"Profiel fysisch mogelijk","Profiel fysisch niet mogelijk")</f>
        <v>Profiel fysisch mogelijk</v>
      </c>
      <c r="B12" s="274"/>
      <c r="C12" s="274"/>
      <c r="D12" s="6"/>
      <c r="E12" s="2"/>
      <c r="F12" s="97"/>
      <c r="G12" s="97"/>
      <c r="H12" s="97"/>
      <c r="I12" s="6"/>
      <c r="J12" s="6"/>
      <c r="K12" s="53"/>
      <c r="L12" s="6"/>
      <c r="M12" s="14"/>
      <c r="N12" s="267"/>
      <c r="O12" s="6"/>
    </row>
    <row r="13" spans="1:18">
      <c r="A13" s="92"/>
      <c r="B13" s="93"/>
      <c r="C13" s="93"/>
      <c r="D13" s="94"/>
      <c r="E13" s="94"/>
      <c r="F13" s="94"/>
      <c r="G13" s="94"/>
      <c r="H13" s="94"/>
      <c r="I13" s="94"/>
      <c r="J13" s="94"/>
      <c r="K13" s="95"/>
      <c r="L13" s="94"/>
      <c r="M13" s="96"/>
      <c r="N13" s="268"/>
      <c r="O13" s="6"/>
    </row>
    <row r="14" spans="1:18">
      <c r="A14" s="17" t="s">
        <v>27</v>
      </c>
      <c r="B14" s="6"/>
      <c r="C14" s="6"/>
      <c r="D14" s="6"/>
      <c r="E14" s="6"/>
      <c r="F14" s="6"/>
      <c r="G14" s="6"/>
      <c r="H14" s="6"/>
      <c r="I14" s="6"/>
      <c r="J14" s="6"/>
      <c r="K14" s="2"/>
      <c r="L14" s="88"/>
      <c r="M14" s="14"/>
      <c r="N14" s="87"/>
      <c r="O14" s="6"/>
    </row>
    <row r="15" spans="1:18">
      <c r="A15" s="139" t="s">
        <v>28</v>
      </c>
      <c r="B15" s="113"/>
      <c r="C15" s="7"/>
      <c r="D15" s="7"/>
      <c r="E15" s="55" t="s">
        <v>100</v>
      </c>
      <c r="F15" s="47">
        <f>B7</f>
        <v>2</v>
      </c>
      <c r="G15" s="113" t="s">
        <v>102</v>
      </c>
      <c r="H15" s="272" t="str">
        <f>IF(F15&gt;=1,IF(F15&lt;=8,"Voldoet","Voldoet niet"),"Voldoet niet")</f>
        <v>Voldoet</v>
      </c>
      <c r="I15" s="272"/>
      <c r="J15" s="106"/>
      <c r="K15" s="7"/>
      <c r="L15" s="88"/>
      <c r="M15" s="56"/>
      <c r="N15" s="147">
        <f>IF(F15&gt;=1,IF(F15&lt;=8,1,0))</f>
        <v>1</v>
      </c>
      <c r="O15" s="34"/>
      <c r="P15" s="5"/>
      <c r="Q15" s="5"/>
      <c r="R15" s="5"/>
    </row>
    <row r="16" spans="1:18">
      <c r="A16" s="139"/>
      <c r="B16" s="113"/>
      <c r="C16" s="7"/>
      <c r="D16" s="7"/>
      <c r="E16" s="55"/>
      <c r="F16" s="47"/>
      <c r="G16" s="113"/>
      <c r="H16" s="140"/>
      <c r="I16" s="140"/>
      <c r="J16" s="106"/>
      <c r="K16" s="7"/>
      <c r="L16" s="88"/>
      <c r="M16" s="56"/>
      <c r="N16" s="148"/>
      <c r="O16" s="6"/>
      <c r="P16" s="5"/>
      <c r="Q16" s="5"/>
      <c r="R16" s="5"/>
    </row>
    <row r="17" spans="1:22">
      <c r="A17" s="269" t="s">
        <v>29</v>
      </c>
      <c r="B17" s="270"/>
      <c r="C17" s="7" t="s">
        <v>33</v>
      </c>
      <c r="D17" s="7"/>
      <c r="E17" s="174" t="s">
        <v>32</v>
      </c>
      <c r="F17" s="47">
        <f>B4/B7</f>
        <v>125</v>
      </c>
      <c r="G17" s="113" t="s">
        <v>103</v>
      </c>
      <c r="H17" s="271" t="str">
        <f>IF(F17&lt;=500,"Voldoet","Voldoet niet")</f>
        <v>Voldoet</v>
      </c>
      <c r="I17" s="271"/>
      <c r="J17" s="113"/>
      <c r="K17" s="113"/>
      <c r="L17" s="113"/>
      <c r="M17" s="56"/>
      <c r="N17" s="149">
        <f>IF(F17&lt;=500,1,0)</f>
        <v>1</v>
      </c>
      <c r="O17" s="88"/>
      <c r="P17" s="5"/>
      <c r="Q17" s="5"/>
      <c r="R17" s="5"/>
    </row>
    <row r="18" spans="1:22">
      <c r="A18" s="114"/>
      <c r="B18" s="113"/>
      <c r="C18" s="7" t="s">
        <v>34</v>
      </c>
      <c r="D18" s="7"/>
      <c r="E18" s="174" t="s">
        <v>35</v>
      </c>
      <c r="F18" s="47">
        <f>B5/B7</f>
        <v>37.5</v>
      </c>
      <c r="G18" s="113" t="s">
        <v>104</v>
      </c>
      <c r="H18" s="271" t="str">
        <f>IF(F18&lt;=60,"Voldoet","Voldoet niet")</f>
        <v>Voldoet</v>
      </c>
      <c r="I18" s="271"/>
      <c r="J18" s="113"/>
      <c r="K18" s="113"/>
      <c r="L18" s="113"/>
      <c r="M18" s="56"/>
      <c r="N18" s="149">
        <f>IF(F18&lt;=60,1,0)</f>
        <v>1</v>
      </c>
      <c r="O18" s="106"/>
      <c r="P18" s="5"/>
      <c r="Q18" s="5"/>
      <c r="R18" s="5"/>
      <c r="T18" s="2"/>
      <c r="U18" s="2"/>
      <c r="V18" s="2"/>
    </row>
    <row r="19" spans="1:22">
      <c r="A19" s="114"/>
      <c r="B19" s="113"/>
      <c r="C19" s="113" t="s">
        <v>98</v>
      </c>
      <c r="D19" s="7"/>
      <c r="E19" s="174" t="s">
        <v>31</v>
      </c>
      <c r="F19" s="47">
        <f>B6/B7</f>
        <v>12.5</v>
      </c>
      <c r="G19" s="113" t="s">
        <v>105</v>
      </c>
      <c r="H19" s="271" t="str">
        <f>IF(F19&lt;=50,"Voldoet","Voldoet niet")</f>
        <v>Voldoet</v>
      </c>
      <c r="I19" s="271"/>
      <c r="J19" s="113"/>
      <c r="K19" s="113"/>
      <c r="L19" s="113"/>
      <c r="M19" s="56"/>
      <c r="N19" s="149">
        <f>IF(F19&lt;=50,1,0)</f>
        <v>1</v>
      </c>
      <c r="O19" s="106"/>
      <c r="P19" s="5"/>
      <c r="Q19" s="5"/>
      <c r="R19" s="5"/>
      <c r="T19" s="2"/>
      <c r="U19" s="2"/>
      <c r="V19" s="2"/>
    </row>
    <row r="20" spans="1:22">
      <c r="A20" s="13"/>
      <c r="B20" s="6"/>
      <c r="C20" s="113" t="s">
        <v>98</v>
      </c>
      <c r="D20" s="6"/>
      <c r="E20" s="175" t="s">
        <v>97</v>
      </c>
      <c r="F20" s="144">
        <f>B6/B5</f>
        <v>0.33333333333333331</v>
      </c>
      <c r="G20" s="145" t="s">
        <v>101</v>
      </c>
      <c r="H20" s="275" t="str">
        <f>IF(F21&lt;=0.6,IF(F21&gt;=0.2,"De lip mag worden meegenomen in de berekening","Lipafmetingen te klein. Bereken C-profiel als U-profiel met dezelfde b als C-profiel"),"Lipafmetingen te groot. Geen verdere berekening mogelijk")</f>
        <v>De lip mag worden meegenomen in de berekening</v>
      </c>
      <c r="I20" s="275"/>
      <c r="J20" s="275"/>
      <c r="K20" s="275"/>
      <c r="L20" s="275"/>
      <c r="M20" s="276"/>
      <c r="N20" s="150">
        <f>IF(F20&gt;=0.2,1,0)</f>
        <v>1</v>
      </c>
      <c r="O20" s="5"/>
      <c r="P20" s="5"/>
      <c r="Q20" s="5"/>
      <c r="R20" s="5"/>
      <c r="T20" s="2"/>
      <c r="U20" s="2"/>
      <c r="V20" s="2"/>
    </row>
    <row r="21" spans="1:22">
      <c r="A21" s="13"/>
      <c r="B21" s="2"/>
      <c r="C21" s="2"/>
      <c r="D21" s="2"/>
      <c r="E21" s="176" t="s">
        <v>97</v>
      </c>
      <c r="F21" s="47">
        <f>B6/B5</f>
        <v>0.33333333333333331</v>
      </c>
      <c r="G21" s="113" t="s">
        <v>60</v>
      </c>
      <c r="H21" s="275"/>
      <c r="I21" s="275"/>
      <c r="J21" s="275"/>
      <c r="K21" s="275"/>
      <c r="L21" s="275"/>
      <c r="M21" s="276"/>
      <c r="N21" s="150">
        <f>IF(F21&lt;=0.6,1,0)</f>
        <v>1</v>
      </c>
      <c r="O21" s="5"/>
      <c r="P21" s="5"/>
      <c r="Q21" s="5"/>
      <c r="R21" s="5"/>
      <c r="T21" s="2"/>
      <c r="U21" s="2"/>
      <c r="V21" s="2"/>
    </row>
    <row r="22" spans="1:22">
      <c r="A22" s="13"/>
      <c r="B22" s="2"/>
      <c r="C22" s="2"/>
      <c r="D22" s="2"/>
      <c r="E22" s="47"/>
      <c r="F22" s="113"/>
      <c r="H22" s="140"/>
      <c r="I22" s="2"/>
      <c r="J22" s="2"/>
      <c r="K22" s="2"/>
      <c r="L22" s="2"/>
      <c r="M22" s="54"/>
      <c r="N22" s="146"/>
      <c r="O22" s="5"/>
      <c r="P22" s="5"/>
      <c r="Q22" s="5"/>
      <c r="R22" s="5"/>
      <c r="T22" s="2"/>
      <c r="U22" s="2"/>
      <c r="V22" s="2"/>
    </row>
    <row r="23" spans="1:22" ht="18.75">
      <c r="A23" s="13"/>
      <c r="B23" s="2"/>
      <c r="C23" s="177" t="s">
        <v>1</v>
      </c>
      <c r="D23" s="108" t="s">
        <v>37</v>
      </c>
      <c r="E23" s="7" t="s">
        <v>111</v>
      </c>
      <c r="F23" s="7"/>
      <c r="H23" s="140"/>
      <c r="I23" s="2"/>
      <c r="J23" s="2"/>
      <c r="K23" s="2"/>
      <c r="L23" s="2"/>
      <c r="M23" s="54"/>
      <c r="N23" s="146"/>
      <c r="O23" s="5"/>
      <c r="P23" s="5"/>
      <c r="Q23" s="5"/>
      <c r="R23" s="5"/>
      <c r="T23" s="2"/>
      <c r="U23" s="2"/>
      <c r="V23" s="2"/>
    </row>
    <row r="24" spans="1:22">
      <c r="A24" s="13"/>
      <c r="B24" s="2"/>
      <c r="C24" s="6">
        <f>B8</f>
        <v>3</v>
      </c>
      <c r="D24" s="108" t="s">
        <v>37</v>
      </c>
      <c r="E24" s="111">
        <f>0.04*B7*H4/H6</f>
        <v>48</v>
      </c>
      <c r="F24" s="261" t="str">
        <f>IF(C24&gt;E24,"Voldoet niet","Voldoet")</f>
        <v>Voldoet</v>
      </c>
      <c r="G24" s="261"/>
      <c r="H24" s="140"/>
      <c r="I24" s="2"/>
      <c r="J24" s="2"/>
      <c r="K24" s="2"/>
      <c r="L24" s="2"/>
      <c r="M24" s="54"/>
      <c r="N24" s="154">
        <f>IF(C24&lt;=E24,1,0)</f>
        <v>1</v>
      </c>
      <c r="O24" s="5"/>
      <c r="P24" s="5"/>
      <c r="Q24" s="5"/>
      <c r="R24" s="5"/>
      <c r="T24" s="2"/>
      <c r="U24" s="2"/>
      <c r="V24" s="2"/>
    </row>
    <row r="25" spans="1:22">
      <c r="A25" s="1"/>
      <c r="B25" s="2"/>
      <c r="C25" s="2"/>
      <c r="D25" s="2"/>
      <c r="E25" s="2"/>
      <c r="F25" s="2"/>
      <c r="G25" s="2"/>
      <c r="H25" s="2"/>
      <c r="I25" s="99"/>
      <c r="J25" s="6"/>
      <c r="K25" s="7"/>
      <c r="L25" s="7"/>
      <c r="M25" s="12"/>
      <c r="N25" s="146"/>
      <c r="O25" s="5"/>
      <c r="P25" s="5"/>
      <c r="Q25" s="5"/>
      <c r="R25" s="5"/>
      <c r="T25" s="2"/>
      <c r="U25" s="2"/>
      <c r="V25" s="2"/>
    </row>
    <row r="26" spans="1:22">
      <c r="A26" s="1"/>
      <c r="F26" s="7"/>
      <c r="G26" s="6"/>
      <c r="H26" s="2"/>
      <c r="I26" s="2"/>
      <c r="J26" s="6"/>
      <c r="K26" s="7"/>
      <c r="L26" s="7"/>
      <c r="M26" s="12"/>
      <c r="N26" s="146"/>
      <c r="O26" s="5"/>
      <c r="P26" s="5"/>
      <c r="Q26" s="5"/>
      <c r="R26" s="5"/>
    </row>
    <row r="27" spans="1:22">
      <c r="A27" s="1"/>
      <c r="F27" s="99"/>
      <c r="G27" s="6"/>
      <c r="H27" s="106"/>
      <c r="I27" s="6"/>
      <c r="J27" s="6"/>
      <c r="K27" s="7"/>
      <c r="L27" s="7"/>
      <c r="M27" s="12"/>
      <c r="O27" s="5"/>
      <c r="P27" s="5"/>
      <c r="Q27" s="5"/>
      <c r="R27" s="5"/>
    </row>
    <row r="28" spans="1:22">
      <c r="A28" s="13"/>
      <c r="B28" s="26"/>
      <c r="C28" s="6"/>
      <c r="D28" s="6"/>
      <c r="E28" s="6"/>
      <c r="F28" s="26"/>
      <c r="G28" s="6"/>
      <c r="H28" s="106"/>
      <c r="I28" s="6"/>
      <c r="J28" s="6"/>
      <c r="K28" s="7"/>
      <c r="L28" s="7"/>
      <c r="M28" s="12"/>
      <c r="N28" s="146"/>
      <c r="O28" s="31"/>
      <c r="P28" s="5"/>
      <c r="Q28" s="5"/>
      <c r="R28" s="5"/>
    </row>
    <row r="29" spans="1:22">
      <c r="A29" s="1"/>
      <c r="B29" s="2"/>
      <c r="C29" s="2"/>
      <c r="D29" s="6"/>
      <c r="E29" s="2"/>
      <c r="F29" s="9"/>
      <c r="G29" s="6"/>
      <c r="H29" s="106"/>
      <c r="I29" s="6"/>
      <c r="J29" s="6"/>
      <c r="K29" s="7"/>
      <c r="L29" s="7"/>
      <c r="M29" s="12"/>
      <c r="N29" s="87"/>
      <c r="O29" s="5"/>
    </row>
    <row r="30" spans="1:22">
      <c r="A30" s="1"/>
      <c r="B30" s="2"/>
      <c r="C30" s="2"/>
      <c r="D30" s="6"/>
      <c r="E30" s="6"/>
      <c r="F30" s="9"/>
      <c r="G30" s="6"/>
      <c r="H30" s="106"/>
      <c r="I30" s="6"/>
      <c r="J30" s="6"/>
      <c r="K30" s="7"/>
      <c r="L30" s="7"/>
      <c r="M30" s="12"/>
      <c r="N30" s="87"/>
      <c r="O30" s="5"/>
    </row>
    <row r="31" spans="1:22">
      <c r="A31" s="1"/>
      <c r="B31" s="2"/>
      <c r="C31" s="2"/>
      <c r="D31" s="2"/>
      <c r="E31" s="6"/>
      <c r="F31" s="9"/>
      <c r="G31" s="6"/>
      <c r="H31" s="6"/>
      <c r="I31" s="6"/>
      <c r="J31" s="6"/>
      <c r="K31" s="7"/>
      <c r="L31" s="7"/>
      <c r="M31" s="12"/>
      <c r="N31" s="87"/>
      <c r="O31" s="5"/>
    </row>
    <row r="32" spans="1:22">
      <c r="A32" s="1"/>
      <c r="B32" s="2"/>
      <c r="C32" s="2"/>
      <c r="D32" s="6"/>
      <c r="E32" s="6"/>
      <c r="F32" s="9"/>
      <c r="G32" s="6"/>
      <c r="H32" s="6"/>
      <c r="I32" s="6"/>
      <c r="J32" s="6"/>
      <c r="K32" s="7"/>
      <c r="L32" s="7"/>
      <c r="M32" s="12"/>
      <c r="N32" s="87"/>
      <c r="O32" s="5"/>
    </row>
    <row r="33" spans="1:15">
      <c r="A33" s="1"/>
      <c r="B33" s="2"/>
      <c r="C33" s="2"/>
      <c r="D33" s="2"/>
      <c r="E33" s="6"/>
      <c r="F33" s="9"/>
      <c r="G33" s="6"/>
      <c r="H33" s="6"/>
      <c r="I33" s="6"/>
      <c r="J33" s="6"/>
      <c r="K33" s="7"/>
      <c r="L33" s="7"/>
      <c r="M33" s="12"/>
      <c r="N33" s="87"/>
      <c r="O33" s="5"/>
    </row>
    <row r="34" spans="1:15">
      <c r="A34" s="1"/>
      <c r="B34" s="167"/>
      <c r="C34" s="167"/>
      <c r="D34" s="167"/>
      <c r="E34" s="6"/>
      <c r="F34" s="9"/>
      <c r="G34" s="6"/>
      <c r="H34" s="6"/>
      <c r="I34" s="6"/>
      <c r="J34" s="6"/>
      <c r="K34" s="7"/>
      <c r="L34" s="7"/>
      <c r="M34" s="12"/>
      <c r="N34" s="87"/>
      <c r="O34" s="5"/>
    </row>
    <row r="35" spans="1:15">
      <c r="A35" s="1"/>
      <c r="B35" s="167"/>
      <c r="C35" s="167"/>
      <c r="D35" s="167"/>
      <c r="E35" s="6"/>
      <c r="F35" s="9"/>
      <c r="G35" s="6"/>
      <c r="H35" s="6"/>
      <c r="I35" s="6"/>
      <c r="J35" s="6"/>
      <c r="K35" s="7"/>
      <c r="L35" s="7"/>
      <c r="M35" s="12"/>
      <c r="N35" s="87"/>
      <c r="O35" s="5"/>
    </row>
    <row r="36" spans="1:15">
      <c r="A36" s="1"/>
      <c r="B36" s="2"/>
      <c r="C36" s="2"/>
      <c r="D36" s="6"/>
      <c r="E36" s="6"/>
      <c r="F36" s="9"/>
      <c r="G36" s="6"/>
      <c r="H36" s="6"/>
      <c r="I36" s="6"/>
      <c r="J36" s="6"/>
      <c r="K36" s="7"/>
      <c r="L36" s="7"/>
      <c r="M36" s="12"/>
      <c r="N36" s="87"/>
      <c r="O36" s="5"/>
    </row>
    <row r="37" spans="1:15" ht="15" customHeight="1" thickBot="1">
      <c r="A37" s="91"/>
      <c r="B37" s="3"/>
      <c r="C37" s="3"/>
      <c r="D37" s="18"/>
      <c r="E37" s="18"/>
      <c r="F37" s="19"/>
      <c r="G37" s="18"/>
      <c r="H37" s="18"/>
      <c r="I37" s="18"/>
      <c r="J37" s="18"/>
      <c r="K37" s="15"/>
      <c r="L37" s="15"/>
      <c r="M37" s="16"/>
      <c r="N37" s="87"/>
      <c r="O37" s="5"/>
    </row>
    <row r="38" spans="1:15" ht="15.75" thickBot="1">
      <c r="D38" s="6"/>
      <c r="E38" s="6"/>
      <c r="F38" s="9"/>
      <c r="G38" s="6"/>
      <c r="H38" s="6"/>
      <c r="I38" s="6"/>
      <c r="J38" s="6"/>
      <c r="K38" s="7"/>
      <c r="L38" s="7"/>
      <c r="M38" s="5"/>
      <c r="N38" s="87"/>
      <c r="O38" s="5"/>
    </row>
    <row r="39" spans="1:15">
      <c r="A39" s="21" t="s">
        <v>126</v>
      </c>
      <c r="B39" s="11"/>
      <c r="C39" s="11"/>
      <c r="D39" s="11"/>
      <c r="E39" s="11"/>
      <c r="F39" s="155"/>
      <c r="G39" s="11"/>
      <c r="H39" s="11"/>
      <c r="I39" s="11"/>
      <c r="J39" s="11"/>
      <c r="K39" s="39"/>
      <c r="L39" s="39"/>
      <c r="M39" s="76"/>
      <c r="N39" s="266" t="s">
        <v>125</v>
      </c>
      <c r="O39" s="5"/>
    </row>
    <row r="40" spans="1:15">
      <c r="A40" s="13"/>
      <c r="B40" s="25"/>
      <c r="C40" s="6"/>
      <c r="D40" s="6"/>
      <c r="E40" s="6"/>
      <c r="F40" s="25"/>
      <c r="G40" s="6"/>
      <c r="H40" s="6"/>
      <c r="I40" s="25"/>
      <c r="J40" s="6"/>
      <c r="K40" s="7"/>
      <c r="L40" s="7"/>
      <c r="M40" s="12"/>
      <c r="N40" s="267"/>
      <c r="O40" s="5"/>
    </row>
    <row r="41" spans="1:15" ht="18.75">
      <c r="A41" s="172" t="s">
        <v>114</v>
      </c>
      <c r="B41" s="157">
        <f>Berekening!H153</f>
        <v>37.940212126779748</v>
      </c>
      <c r="C41" s="6" t="s">
        <v>3</v>
      </c>
      <c r="D41" s="6"/>
      <c r="E41" s="170" t="s">
        <v>120</v>
      </c>
      <c r="F41" s="157">
        <f>Berekening!H99</f>
        <v>30.224446701455022</v>
      </c>
      <c r="G41" s="6" t="s">
        <v>3</v>
      </c>
      <c r="H41" s="6"/>
      <c r="I41" s="170" t="s">
        <v>124</v>
      </c>
      <c r="J41" s="157">
        <f>Berekening!H112</f>
        <v>20</v>
      </c>
      <c r="K41" s="6" t="s">
        <v>3</v>
      </c>
      <c r="L41" s="7"/>
      <c r="M41" s="12"/>
      <c r="N41" s="267"/>
      <c r="O41" s="5"/>
    </row>
    <row r="42" spans="1:15" ht="18.75">
      <c r="A42" s="172" t="s">
        <v>115</v>
      </c>
      <c r="B42" s="157">
        <f>Berekening!H154</f>
        <v>61.15295887728891</v>
      </c>
      <c r="C42" s="6" t="s">
        <v>3</v>
      </c>
      <c r="D42" s="6"/>
      <c r="E42" s="170" t="s">
        <v>121</v>
      </c>
      <c r="F42" s="157">
        <f>Berekening!H100</f>
        <v>30.224446701455022</v>
      </c>
      <c r="G42" s="6" t="s">
        <v>3</v>
      </c>
      <c r="H42" s="2"/>
      <c r="I42" s="2"/>
      <c r="J42" s="2"/>
      <c r="K42" s="7"/>
      <c r="L42" s="7"/>
      <c r="M42" s="12"/>
      <c r="N42" s="267"/>
      <c r="O42" s="5"/>
    </row>
    <row r="43" spans="1:15">
      <c r="A43" s="178"/>
      <c r="B43" s="163"/>
      <c r="C43" s="2"/>
      <c r="D43" s="6"/>
      <c r="E43" s="170"/>
      <c r="F43" s="157"/>
      <c r="G43" s="6"/>
      <c r="H43" s="6"/>
      <c r="I43" s="6"/>
      <c r="J43" s="6"/>
      <c r="K43" s="6"/>
      <c r="L43" s="6"/>
      <c r="M43" s="12"/>
      <c r="N43" s="267"/>
      <c r="O43" s="5"/>
    </row>
    <row r="44" spans="1:15" ht="18.75">
      <c r="A44" s="179" t="s">
        <v>112</v>
      </c>
      <c r="B44" s="158">
        <f>Berekening!H131</f>
        <v>119.83782362857905</v>
      </c>
      <c r="C44" s="6" t="s">
        <v>3</v>
      </c>
      <c r="D44" s="2"/>
      <c r="E44" s="242" t="s">
        <v>11</v>
      </c>
      <c r="F44" s="243">
        <f>Berekening!H137</f>
        <v>-0.93444906541377959</v>
      </c>
      <c r="G44" s="244" t="s">
        <v>41</v>
      </c>
      <c r="H44" s="6"/>
      <c r="I44" s="6"/>
      <c r="J44" s="6"/>
      <c r="K44" s="7"/>
      <c r="L44" s="7"/>
      <c r="M44" s="12"/>
      <c r="N44" s="267"/>
      <c r="O44" s="5"/>
    </row>
    <row r="45" spans="1:15" ht="18.75">
      <c r="A45" s="179" t="s">
        <v>113</v>
      </c>
      <c r="B45" s="157">
        <f>Berekening!H158</f>
        <v>115.16750176047951</v>
      </c>
      <c r="C45" s="6" t="s">
        <v>3</v>
      </c>
      <c r="D45" s="2"/>
      <c r="E45" s="170" t="s">
        <v>122</v>
      </c>
      <c r="F45" s="157">
        <f>Berekening!H135</f>
        <v>118.66625075332523</v>
      </c>
      <c r="G45" s="6" t="s">
        <v>3</v>
      </c>
      <c r="H45" s="6"/>
      <c r="I45" s="6"/>
      <c r="J45" s="6"/>
      <c r="K45" s="7"/>
      <c r="L45" s="7"/>
      <c r="M45" s="12"/>
      <c r="N45" s="267"/>
      <c r="O45" s="5"/>
    </row>
    <row r="46" spans="1:15" ht="18.75">
      <c r="A46" s="172" t="s">
        <v>116</v>
      </c>
      <c r="B46" s="159">
        <f>Berekening!H159</f>
        <v>7297574.8814922031</v>
      </c>
      <c r="C46" s="113" t="s">
        <v>18</v>
      </c>
      <c r="D46" s="2"/>
      <c r="E46" s="170" t="s">
        <v>123</v>
      </c>
      <c r="F46" s="157">
        <f>Berekening!H136</f>
        <v>126.99060349616714</v>
      </c>
      <c r="G46" s="6" t="s">
        <v>3</v>
      </c>
      <c r="H46" s="6"/>
      <c r="I46" s="6"/>
      <c r="J46" s="6"/>
      <c r="K46" s="7"/>
      <c r="L46" s="7"/>
      <c r="M46" s="12"/>
      <c r="N46" s="267"/>
      <c r="O46" s="5"/>
    </row>
    <row r="47" spans="1:15" ht="18.75">
      <c r="A47" s="172" t="s">
        <v>117</v>
      </c>
      <c r="B47" s="159">
        <f>Berekening!H160</f>
        <v>54527.674350303976</v>
      </c>
      <c r="C47" s="113" t="s">
        <v>99</v>
      </c>
      <c r="D47" s="2"/>
      <c r="E47" s="180" t="s">
        <v>119</v>
      </c>
      <c r="F47" s="158">
        <f>Berekening!H127</f>
        <v>1.6468240114881054</v>
      </c>
      <c r="G47" s="6" t="s">
        <v>3</v>
      </c>
      <c r="H47" s="6"/>
      <c r="I47" s="6"/>
      <c r="J47" s="6"/>
      <c r="K47" s="7"/>
      <c r="L47" s="7"/>
      <c r="M47" s="12"/>
      <c r="N47" s="267"/>
      <c r="O47" s="5"/>
    </row>
    <row r="48" spans="1:15" ht="18.75">
      <c r="A48" s="172" t="s">
        <v>118</v>
      </c>
      <c r="B48" s="159">
        <f>Berekening!H161</f>
        <v>62819.418261561143</v>
      </c>
      <c r="C48" s="113" t="s">
        <v>99</v>
      </c>
      <c r="D48" s="6"/>
      <c r="E48" s="8"/>
      <c r="F48" s="6"/>
      <c r="G48" s="6"/>
      <c r="H48" s="6"/>
      <c r="I48" s="6"/>
      <c r="J48" s="6"/>
      <c r="K48" s="7"/>
      <c r="L48" s="7"/>
      <c r="M48" s="12"/>
      <c r="N48" s="268"/>
      <c r="O48" s="5"/>
    </row>
    <row r="49" spans="1:15">
      <c r="A49" s="1"/>
      <c r="B49" s="2"/>
      <c r="C49" s="2"/>
      <c r="D49" s="6"/>
      <c r="E49" s="6"/>
      <c r="F49" s="6"/>
      <c r="G49" s="6"/>
      <c r="H49" s="6"/>
      <c r="I49" s="6"/>
      <c r="J49" s="6"/>
      <c r="K49" s="7"/>
      <c r="L49" s="7"/>
      <c r="M49" s="12"/>
      <c r="N49" s="5"/>
      <c r="O49" s="5"/>
    </row>
    <row r="50" spans="1:15">
      <c r="A50" s="1"/>
      <c r="B50" s="2"/>
      <c r="C50" s="2"/>
      <c r="D50" s="6"/>
      <c r="E50" s="6"/>
      <c r="F50" s="6"/>
      <c r="G50" s="6"/>
      <c r="H50" s="6"/>
      <c r="I50" s="6"/>
      <c r="J50" s="6"/>
      <c r="K50" s="7"/>
      <c r="L50" s="7"/>
      <c r="M50" s="12"/>
      <c r="N50" s="5"/>
      <c r="O50" s="5"/>
    </row>
    <row r="51" spans="1:15">
      <c r="A51" s="264" t="str">
        <f>A12</f>
        <v>Profiel fysisch mogelijk</v>
      </c>
      <c r="B51" s="265"/>
      <c r="C51" s="265"/>
      <c r="D51" s="6"/>
      <c r="E51" s="6"/>
      <c r="F51" s="6"/>
      <c r="G51" s="6"/>
      <c r="H51" s="6"/>
      <c r="I51" s="6"/>
      <c r="J51" s="6"/>
      <c r="K51" s="7"/>
      <c r="L51" s="7"/>
      <c r="M51" s="12"/>
      <c r="N51" s="5"/>
      <c r="O51" s="5"/>
    </row>
    <row r="52" spans="1:15">
      <c r="A52" s="1"/>
      <c r="B52" s="2"/>
      <c r="C52" s="2"/>
      <c r="D52" s="6"/>
      <c r="E52" s="2"/>
      <c r="F52" s="6"/>
      <c r="G52" s="113"/>
      <c r="H52" s="6"/>
      <c r="I52" s="6"/>
      <c r="J52" s="6"/>
      <c r="K52" s="7"/>
      <c r="L52" s="7"/>
      <c r="M52" s="12"/>
      <c r="N52" s="5"/>
      <c r="O52" s="31"/>
    </row>
    <row r="53" spans="1:15">
      <c r="A53" s="262" t="str">
        <f>IF(SUM(N15:N24)=7,"Output geldig","Output niet geldig")</f>
        <v>Output geldig</v>
      </c>
      <c r="B53" s="263"/>
      <c r="C53" s="263"/>
      <c r="D53" s="6"/>
      <c r="E53" s="6"/>
      <c r="F53" s="6"/>
      <c r="G53" s="2"/>
      <c r="H53" s="6"/>
      <c r="I53" s="6"/>
      <c r="J53" s="6"/>
      <c r="K53" s="7"/>
      <c r="L53" s="7"/>
      <c r="M53" s="12"/>
      <c r="N53" s="5"/>
      <c r="O53" s="5"/>
    </row>
    <row r="54" spans="1:15" ht="15" customHeight="1" thickBot="1">
      <c r="A54" s="91"/>
      <c r="B54" s="3"/>
      <c r="C54" s="3"/>
      <c r="D54" s="18"/>
      <c r="E54" s="18"/>
      <c r="F54" s="18"/>
      <c r="G54" s="3"/>
      <c r="H54" s="18"/>
      <c r="I54" s="18"/>
      <c r="J54" s="18"/>
      <c r="K54" s="15"/>
      <c r="L54" s="15"/>
      <c r="M54" s="16"/>
      <c r="N54" s="5"/>
      <c r="O54" s="5"/>
    </row>
    <row r="55" spans="1:15">
      <c r="A55" s="2"/>
      <c r="B55" s="153"/>
      <c r="C55" s="153"/>
      <c r="D55" s="6"/>
      <c r="E55" s="6"/>
      <c r="F55" s="6"/>
      <c r="G55" s="6"/>
      <c r="H55" s="6"/>
      <c r="I55" s="6"/>
      <c r="J55" s="6"/>
      <c r="K55" s="7"/>
      <c r="L55" s="7"/>
      <c r="M55" s="7"/>
      <c r="N55" s="5"/>
      <c r="O55" s="5"/>
    </row>
    <row r="56" spans="1:15">
      <c r="A56" s="8"/>
      <c r="B56" s="6"/>
      <c r="C56" s="6"/>
      <c r="D56" s="6"/>
      <c r="E56" s="6"/>
      <c r="F56" s="9"/>
      <c r="G56" s="6"/>
      <c r="H56" s="6"/>
      <c r="I56" s="6"/>
      <c r="J56" s="6"/>
      <c r="K56" s="7"/>
      <c r="L56" s="7"/>
      <c r="M56" s="7"/>
      <c r="N56" s="5"/>
    </row>
    <row r="57" spans="1:15">
      <c r="A57" s="6"/>
      <c r="B57" s="25"/>
      <c r="C57" s="6"/>
      <c r="D57" s="6"/>
      <c r="E57" s="6"/>
      <c r="F57" s="25"/>
      <c r="G57" s="6"/>
      <c r="H57" s="6"/>
      <c r="I57" s="25"/>
      <c r="J57" s="6"/>
      <c r="K57" s="7"/>
      <c r="L57" s="7"/>
      <c r="M57" s="7"/>
      <c r="N57" s="5"/>
    </row>
    <row r="58" spans="1:15">
      <c r="A58" s="6"/>
      <c r="B58" s="157"/>
      <c r="C58" s="6"/>
      <c r="D58" s="6"/>
      <c r="E58" s="6"/>
      <c r="F58" s="157"/>
      <c r="G58" s="6"/>
      <c r="H58" s="6"/>
      <c r="I58" s="6"/>
      <c r="J58" s="157"/>
      <c r="K58" s="6"/>
      <c r="L58" s="7"/>
      <c r="M58" s="7"/>
      <c r="N58" s="5"/>
    </row>
    <row r="59" spans="1:15">
      <c r="A59" s="6"/>
      <c r="B59" s="157"/>
      <c r="C59" s="6"/>
      <c r="D59" s="6"/>
      <c r="E59" s="6"/>
      <c r="F59" s="157"/>
      <c r="G59" s="6"/>
      <c r="H59" s="2"/>
      <c r="I59" s="2"/>
      <c r="J59" s="2"/>
      <c r="K59" s="7"/>
      <c r="L59" s="7"/>
      <c r="M59" s="7"/>
    </row>
    <row r="60" spans="1:15">
      <c r="A60" s="167"/>
      <c r="B60" s="163"/>
      <c r="C60" s="2"/>
      <c r="D60" s="6"/>
      <c r="E60" s="6"/>
      <c r="F60" s="157"/>
      <c r="G60" s="6"/>
      <c r="H60" s="6"/>
      <c r="I60" s="6"/>
      <c r="J60" s="6"/>
      <c r="K60" s="6"/>
      <c r="L60" s="6"/>
      <c r="M60" s="7"/>
    </row>
    <row r="61" spans="1:15">
      <c r="A61" s="113"/>
      <c r="B61" s="158"/>
      <c r="C61" s="6"/>
      <c r="D61" s="2"/>
      <c r="E61" s="106"/>
      <c r="F61" s="160"/>
      <c r="G61" s="152"/>
      <c r="H61" s="6"/>
      <c r="I61" s="6"/>
      <c r="J61" s="6"/>
      <c r="K61" s="7"/>
      <c r="L61" s="7"/>
      <c r="M61" s="7"/>
    </row>
    <row r="62" spans="1:15">
      <c r="A62" s="113"/>
      <c r="B62" s="157"/>
      <c r="C62" s="6"/>
      <c r="D62" s="2"/>
      <c r="E62" s="6"/>
      <c r="F62" s="158"/>
      <c r="G62" s="7"/>
      <c r="H62" s="6"/>
      <c r="I62" s="6"/>
      <c r="J62" s="6"/>
      <c r="K62" s="7"/>
      <c r="L62" s="7"/>
      <c r="M62" s="7"/>
    </row>
    <row r="63" spans="1:15">
      <c r="A63" s="6"/>
      <c r="B63" s="159"/>
      <c r="C63" s="113"/>
      <c r="D63" s="2"/>
      <c r="E63" s="6"/>
      <c r="F63" s="157"/>
      <c r="G63" s="6"/>
      <c r="H63" s="6"/>
      <c r="I63" s="6"/>
      <c r="J63" s="6"/>
      <c r="K63" s="7"/>
      <c r="L63" s="7"/>
      <c r="M63" s="7"/>
    </row>
    <row r="64" spans="1:15">
      <c r="A64" s="6"/>
      <c r="B64" s="159"/>
      <c r="C64" s="113"/>
      <c r="D64" s="2"/>
      <c r="E64" s="113"/>
      <c r="F64" s="158"/>
      <c r="G64" s="6"/>
      <c r="H64" s="6"/>
      <c r="I64" s="6"/>
      <c r="J64" s="6"/>
      <c r="K64" s="7"/>
      <c r="L64" s="7"/>
      <c r="M64" s="7"/>
    </row>
    <row r="65" spans="1:14">
      <c r="A65" s="6"/>
      <c r="B65" s="159"/>
      <c r="C65" s="113"/>
      <c r="D65" s="6"/>
      <c r="E65" s="8"/>
      <c r="F65" s="6"/>
      <c r="G65" s="6"/>
      <c r="H65" s="6"/>
      <c r="I65" s="6"/>
      <c r="J65" s="6"/>
      <c r="K65" s="7"/>
      <c r="L65" s="7"/>
      <c r="M65" s="7"/>
    </row>
    <row r="66" spans="1:14">
      <c r="A66" s="167"/>
      <c r="B66" s="2"/>
      <c r="C66" s="2"/>
      <c r="D66" s="6"/>
      <c r="E66" s="6"/>
      <c r="F66" s="6"/>
      <c r="G66" s="6"/>
      <c r="H66" s="6"/>
      <c r="I66" s="6"/>
      <c r="J66" s="6"/>
      <c r="K66" s="7"/>
      <c r="L66" s="7"/>
      <c r="M66" s="7"/>
      <c r="N66" s="7"/>
    </row>
    <row r="67" spans="1:14">
      <c r="A67" s="167"/>
      <c r="B67" s="2"/>
      <c r="C67" s="2"/>
      <c r="D67" s="6"/>
      <c r="E67" s="6"/>
      <c r="F67" s="6"/>
      <c r="G67" s="6"/>
      <c r="H67" s="6"/>
      <c r="I67" s="6"/>
      <c r="J67" s="6"/>
      <c r="K67" s="7"/>
      <c r="L67" s="7"/>
      <c r="M67" s="7"/>
      <c r="N67" s="7"/>
    </row>
    <row r="68" spans="1:14">
      <c r="A68" s="167"/>
      <c r="B68" s="2"/>
      <c r="C68" s="2"/>
      <c r="D68" s="6"/>
      <c r="E68" s="6"/>
      <c r="F68" s="6"/>
      <c r="G68" s="6"/>
      <c r="H68" s="6"/>
      <c r="I68" s="6"/>
      <c r="J68" s="6"/>
      <c r="K68" s="7"/>
      <c r="L68" s="7"/>
      <c r="M68" s="7"/>
      <c r="N68" s="7"/>
    </row>
    <row r="69" spans="1:14">
      <c r="A69" s="6"/>
      <c r="B69" s="2"/>
      <c r="C69" s="6"/>
      <c r="D69" s="113"/>
      <c r="E69" s="6"/>
      <c r="F69" s="6"/>
      <c r="G69" s="6"/>
      <c r="H69" s="7"/>
      <c r="I69" s="7"/>
      <c r="J69" s="7"/>
      <c r="K69" s="7"/>
    </row>
    <row r="70" spans="1:14">
      <c r="A70" s="167"/>
      <c r="B70" s="167"/>
      <c r="C70" s="167"/>
      <c r="D70" s="6"/>
      <c r="E70" s="6"/>
      <c r="F70" s="6"/>
      <c r="G70" s="2"/>
      <c r="H70" s="6"/>
      <c r="I70" s="6"/>
      <c r="J70" s="6"/>
      <c r="K70" s="7"/>
      <c r="L70" s="7"/>
      <c r="M70" s="7"/>
      <c r="N70" s="7"/>
    </row>
    <row r="71" spans="1:14">
      <c r="A71" s="2"/>
      <c r="B71" s="2"/>
      <c r="C71" s="2"/>
      <c r="D71" s="6"/>
      <c r="E71" s="6"/>
      <c r="F71" s="6"/>
      <c r="G71" s="167"/>
      <c r="H71" s="6"/>
      <c r="I71" s="6"/>
      <c r="J71" s="6"/>
      <c r="K71" s="7"/>
      <c r="L71" s="7"/>
      <c r="M71" s="7"/>
      <c r="N71" s="7"/>
    </row>
    <row r="72" spans="1:14"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</sheetData>
  <mergeCells count="12">
    <mergeCell ref="F24:G24"/>
    <mergeCell ref="A53:C53"/>
    <mergeCell ref="A51:C51"/>
    <mergeCell ref="N3:N13"/>
    <mergeCell ref="N39:N48"/>
    <mergeCell ref="A17:B17"/>
    <mergeCell ref="H19:I19"/>
    <mergeCell ref="H18:I18"/>
    <mergeCell ref="H17:I17"/>
    <mergeCell ref="H15:I15"/>
    <mergeCell ref="A12:C12"/>
    <mergeCell ref="H20:M21"/>
  </mergeCells>
  <phoneticPr fontId="27" type="noConversion"/>
  <conditionalFormatting sqref="A53">
    <cfRule type="cellIs" dxfId="97" priority="42" stopIfTrue="1" operator="equal">
      <formula>"Output geldig"</formula>
    </cfRule>
    <cfRule type="cellIs" dxfId="96" priority="43" stopIfTrue="1" operator="equal">
      <formula>"Output niet geldig"</formula>
    </cfRule>
  </conditionalFormatting>
  <conditionalFormatting sqref="A53:C53">
    <cfRule type="cellIs" dxfId="95" priority="3" stopIfTrue="1" operator="equal">
      <formula>"Output geldig"</formula>
    </cfRule>
    <cfRule type="cellIs" dxfId="94" priority="6" stopIfTrue="1" operator="equal">
      <formula>"Output niet geldig"</formula>
    </cfRule>
  </conditionalFormatting>
  <conditionalFormatting sqref="A51 B55:C55 A12 F11:H12">
    <cfRule type="cellIs" dxfId="93" priority="23" operator="equal">
      <formula>"Profiel fysisch niet mogelijk"</formula>
    </cfRule>
    <cfRule type="cellIs" dxfId="92" priority="24" operator="equal">
      <formula>"Profiel fysisch mogelijk"</formula>
    </cfRule>
  </conditionalFormatting>
  <conditionalFormatting sqref="H27:H28 L14">
    <cfRule type="cellIs" dxfId="91" priority="37" operator="equal">
      <formula>"Voldoet niet"</formula>
    </cfRule>
    <cfRule type="cellIs" dxfId="90" priority="38" operator="equal">
      <formula>"Voldoet niet"</formula>
    </cfRule>
    <cfRule type="cellIs" dxfId="89" priority="39" operator="equal">
      <formula>"Voldoet"</formula>
    </cfRule>
  </conditionalFormatting>
  <conditionalFormatting sqref="H29 H17:H19 I17:I18 L15:L16 N17:O18 N19">
    <cfRule type="cellIs" dxfId="88" priority="35" operator="equal">
      <formula>"Voldoet niet"</formula>
    </cfRule>
    <cfRule type="cellIs" dxfId="87" priority="36" operator="equal">
      <formula>"Voldoet"</formula>
    </cfRule>
  </conditionalFormatting>
  <conditionalFormatting sqref="F24">
    <cfRule type="cellIs" dxfId="86" priority="26" operator="equal">
      <formula>"Voldoet"</formula>
    </cfRule>
  </conditionalFormatting>
  <conditionalFormatting sqref="F24 I25">
    <cfRule type="cellIs" dxfId="85" priority="25" operator="equal">
      <formula>"Voldoet niet"</formula>
    </cfRule>
  </conditionalFormatting>
  <conditionalFormatting sqref="H15:H16 N15">
    <cfRule type="cellIs" dxfId="84" priority="32" operator="equal">
      <formula>"Voldoet niet"</formula>
    </cfRule>
    <cfRule type="cellIs" dxfId="83" priority="33" operator="equal">
      <formula>"Voldoet"</formula>
    </cfRule>
    <cfRule type="cellIs" priority="34" operator="equal">
      <formula>"Voldoet"</formula>
    </cfRule>
  </conditionalFormatting>
  <conditionalFormatting sqref="A10">
    <cfRule type="cellIs" dxfId="82" priority="9" operator="equal">
      <formula>"Invl afrondingsstralen mag niet worden genegeerd"</formula>
    </cfRule>
    <cfRule type="cellIs" dxfId="81" priority="10" operator="equal">
      <formula>"Invl. Afrondingsstralen mag niet worden genegeerd"</formula>
    </cfRule>
    <cfRule type="cellIs" dxfId="80" priority="11" operator="equal">
      <formula>"Invl. Afrondingsstralen mag worden genegeerd"</formula>
    </cfRule>
  </conditionalFormatting>
  <conditionalFormatting sqref="A10">
    <cfRule type="cellIs" dxfId="79" priority="13" operator="equal">
      <formula>"Invloed afrondingsstralen mag worden genegeerd"</formula>
    </cfRule>
  </conditionalFormatting>
  <conditionalFormatting sqref="A10">
    <cfRule type="cellIs" dxfId="78" priority="12" operator="equal">
      <formula>"Invloeg afrondingsstralen mag niet worden genegeerd"</formula>
    </cfRule>
  </conditionalFormatting>
  <conditionalFormatting sqref="H22:M24">
    <cfRule type="cellIs" dxfId="77" priority="59" stopIfTrue="1" operator="equal">
      <formula>"Lip mag meegenomen worden in berekening"</formula>
    </cfRule>
  </conditionalFormatting>
  <conditionalFormatting sqref="H20:M21">
    <cfRule type="cellIs" dxfId="76" priority="1" stopIfTrue="1" operator="equal">
      <formula>"Lipafmetingen te groot. Geen verdere berekening mogelijk"</formula>
    </cfRule>
    <cfRule type="cellIs" dxfId="75" priority="4" stopIfTrue="1" operator="equal">
      <formula>"Lipafmetingen te klein. Bereken C-profiel als U-profiel met dezelfde b als C-profiel"</formula>
    </cfRule>
    <cfRule type="cellIs" dxfId="74" priority="7" stopIfTrue="1" operator="equal">
      <formula>"Lipafmetingen te klein. Bereken C-profiel als U-profiel met dezelfde b als C-profiel"</formula>
    </cfRule>
    <cfRule type="cellIs" dxfId="73" priority="8" stopIfTrue="1" operator="equal">
      <formula>"De lip mag worden meegenomen in de berekening"</formula>
    </cfRule>
    <cfRule type="cellIs" dxfId="72" priority="60" stopIfTrue="1" operator="equal">
      <formula>"De lip mag worden meegenomen in de berekening"</formula>
    </cfRule>
    <cfRule type="cellIs" dxfId="71" priority="61" stopIfTrue="1" operator="equal">
      <formula>"Lipafmetingen te klein. Bereken C-profiel als U-profiel met dezelfde b als C-profiel"</formula>
    </cfRule>
    <cfRule type="cellIs" dxfId="70" priority="62" stopIfTrue="1" operator="equal">
      <formula>"Lipafmetingen te groot. Geen verdere berekening mogelijk"</formula>
    </cfRule>
  </conditionalFormatting>
  <pageMargins left="0.27559055118110237" right="0.27559055118110237" top="0.39370078740157483" bottom="0.39370078740157483" header="0.31496062992125984" footer="0.31496062992125984"/>
  <pageSetup orientation="landscape" r:id="rId1"/>
  <drawing r:id="rId2"/>
  <legacyDrawing r:id="rId3"/>
  <oleObjects>
    <oleObject progId="Word.Document.12" shapeId="2049" r:id="rId4"/>
    <oleObject progId="Word.Document.12" shapeId="2050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Q79"/>
  <sheetViews>
    <sheetView topLeftCell="A37" zoomScaleNormal="100" workbookViewId="0">
      <selection activeCell="C67" sqref="C67"/>
    </sheetView>
  </sheetViews>
  <sheetFormatPr defaultRowHeight="15"/>
  <cols>
    <col min="2" max="2" width="11.42578125" customWidth="1"/>
    <col min="3" max="3" width="8.7109375" customWidth="1"/>
    <col min="5" max="5" width="11" customWidth="1"/>
    <col min="6" max="6" width="13.28515625" customWidth="1"/>
    <col min="7" max="7" width="9.5703125" customWidth="1"/>
    <col min="8" max="8" width="12.140625" customWidth="1"/>
    <col min="9" max="9" width="12" customWidth="1"/>
    <col min="10" max="11" width="10.7109375" customWidth="1"/>
    <col min="12" max="12" width="23.42578125" customWidth="1"/>
    <col min="13" max="13" width="10.28515625" customWidth="1"/>
    <col min="14" max="14" width="10.7109375" customWidth="1"/>
    <col min="16" max="16" width="16.7109375" bestFit="1" customWidth="1"/>
    <col min="17" max="17" width="11.42578125" customWidth="1"/>
    <col min="18" max="18" width="12" bestFit="1" customWidth="1"/>
    <col min="19" max="19" width="8.7109375" bestFit="1" customWidth="1"/>
    <col min="20" max="20" width="12.140625" bestFit="1" customWidth="1"/>
    <col min="21" max="21" width="9.85546875" bestFit="1" customWidth="1"/>
    <col min="22" max="22" width="10.5703125" customWidth="1"/>
    <col min="23" max="23" width="9.85546875" bestFit="1" customWidth="1"/>
  </cols>
  <sheetData>
    <row r="1" spans="1:17" ht="23.25">
      <c r="A1" s="173" t="s">
        <v>127</v>
      </c>
      <c r="B1" s="5"/>
      <c r="C1" s="110"/>
      <c r="D1" s="5"/>
      <c r="E1" s="5"/>
      <c r="F1" s="5"/>
      <c r="G1" s="5"/>
      <c r="H1" s="5"/>
      <c r="I1" s="5"/>
      <c r="J1" s="5"/>
      <c r="K1" s="5"/>
      <c r="L1" s="5"/>
      <c r="M1" s="5"/>
      <c r="N1" s="125"/>
      <c r="O1" s="5"/>
      <c r="P1" s="5"/>
      <c r="Q1" s="5"/>
    </row>
    <row r="2" spans="1:17" ht="15.75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25"/>
      <c r="O2" s="5"/>
      <c r="P2" s="5"/>
      <c r="Q2" s="5"/>
    </row>
    <row r="3" spans="1:17" ht="15.75" thickBot="1">
      <c r="A3" s="228" t="s">
        <v>12</v>
      </c>
      <c r="B3" s="44"/>
      <c r="C3" s="42"/>
      <c r="D3" s="42"/>
      <c r="F3" s="40" t="s">
        <v>7</v>
      </c>
      <c r="G3" s="41"/>
      <c r="H3" s="42"/>
      <c r="I3" s="5"/>
      <c r="J3" s="5"/>
      <c r="K3" s="5"/>
      <c r="L3" s="5"/>
      <c r="M3" s="5"/>
      <c r="N3" s="125"/>
      <c r="O3" s="5"/>
      <c r="P3" s="5"/>
      <c r="Q3" s="5"/>
    </row>
    <row r="4" spans="1:17">
      <c r="A4" s="181" t="s">
        <v>13</v>
      </c>
      <c r="B4" s="58">
        <f>'Input,output'!H4</f>
        <v>210000</v>
      </c>
      <c r="C4" s="11" t="s">
        <v>15</v>
      </c>
      <c r="D4" s="24"/>
      <c r="F4" s="172" t="s">
        <v>4</v>
      </c>
      <c r="G4" s="60">
        <f>'Input,output'!B4</f>
        <v>250</v>
      </c>
      <c r="H4" s="14" t="s">
        <v>3</v>
      </c>
      <c r="I4" s="112">
        <f>IF(G4&gt;=(2*G7),1,0)</f>
        <v>1</v>
      </c>
      <c r="J4" s="277" t="str">
        <f>IF(G4&gt;=(2*G7),"Hoogte is ten minste gelijk aan 2x de dikte","Hoogte is kleiner dan 2x de dikte")</f>
        <v>Hoogte is ten minste gelijk aan 2x de dikte</v>
      </c>
      <c r="K4" s="277"/>
      <c r="L4" s="277"/>
      <c r="M4" s="5"/>
      <c r="N4" s="125"/>
      <c r="O4" s="5"/>
      <c r="P4" s="5"/>
      <c r="Q4" s="5"/>
    </row>
    <row r="5" spans="1:17">
      <c r="A5" s="172" t="s">
        <v>14</v>
      </c>
      <c r="B5" s="59">
        <f>B4/(2*(1+B6))</f>
        <v>80769.230769230766</v>
      </c>
      <c r="C5" s="6" t="s">
        <v>15</v>
      </c>
      <c r="D5" s="14"/>
      <c r="F5" s="172" t="s">
        <v>5</v>
      </c>
      <c r="G5" s="60">
        <f>'Input,output'!B5</f>
        <v>75</v>
      </c>
      <c r="H5" s="14" t="s">
        <v>3</v>
      </c>
      <c r="I5" s="112">
        <f>IF(G5&gt;=(2*G7),1,0)</f>
        <v>1</v>
      </c>
      <c r="J5" s="271" t="str">
        <f>IF(G5&gt;=(2*G7),"Breedte is ten minste gelijk aan 2x de dikte","Breedte is kleiner dan 2x de dikte")</f>
        <v>Breedte is ten minste gelijk aan 2x de dikte</v>
      </c>
      <c r="K5" s="271"/>
      <c r="L5" s="271"/>
      <c r="M5" s="5"/>
      <c r="N5" s="125"/>
      <c r="O5" s="5"/>
      <c r="P5" s="5"/>
      <c r="Q5" s="5"/>
    </row>
    <row r="6" spans="1:17">
      <c r="A6" s="182" t="s">
        <v>70</v>
      </c>
      <c r="B6" s="60">
        <f>'Input,output'!H5</f>
        <v>0.3</v>
      </c>
      <c r="C6" s="6"/>
      <c r="D6" s="14"/>
      <c r="F6" s="172" t="s">
        <v>6</v>
      </c>
      <c r="G6" s="60">
        <f>'Input,output'!B6</f>
        <v>25</v>
      </c>
      <c r="H6" s="14" t="s">
        <v>3</v>
      </c>
      <c r="I6" s="112">
        <f>IF(G6&lt;=(0.5*G4),1,0)</f>
        <v>1</v>
      </c>
      <c r="J6" s="271" t="str">
        <f>IF(G6&lt;=(0.5*G4),"Lip is kleiner of gelijk aan halve profielhoogte","Lip is groter dan de halve profielhoogte")</f>
        <v>Lip is kleiner of gelijk aan halve profielhoogte</v>
      </c>
      <c r="K6" s="271"/>
      <c r="L6" s="271"/>
      <c r="M6" s="5"/>
      <c r="N6" s="125"/>
      <c r="O6" s="5"/>
      <c r="P6" s="5"/>
      <c r="Q6" s="5"/>
    </row>
    <row r="7" spans="1:17" ht="18.75">
      <c r="A7" s="183" t="s">
        <v>107</v>
      </c>
      <c r="B7" s="60">
        <f>'Input,output'!H6</f>
        <v>350</v>
      </c>
      <c r="C7" s="6" t="s">
        <v>15</v>
      </c>
      <c r="D7" s="14"/>
      <c r="F7" s="172" t="s">
        <v>2</v>
      </c>
      <c r="G7" s="60">
        <f>'Input,output'!B7</f>
        <v>2</v>
      </c>
      <c r="H7" s="14" t="s">
        <v>3</v>
      </c>
      <c r="I7" s="112">
        <f>IF(MIN('Input,output'!B41:B42,'Input,output'!F41:F42,'Input,output'!J41,'Input,output'!B58:B59,'Input,output'!F58:F59,'Input,output'!J58)&gt;0,1,0)</f>
        <v>1</v>
      </c>
      <c r="J7" s="271" t="str">
        <f>IF(MIN('Input,output'!B41:B42,'Input,output'!F41:F42,'Input,output'!J41,'Input,output'!B58:B59,'Input,output'!F58:F59,'Input,output'!J58)&gt;0,"Alle effectieve profielmaten zijn positief","Enkele effectieve profielmaten zijn negatief")</f>
        <v>Alle effectieve profielmaten zijn positief</v>
      </c>
      <c r="K7" s="271"/>
      <c r="L7" s="271"/>
      <c r="M7" s="5"/>
      <c r="N7" s="125"/>
      <c r="O7" s="5"/>
      <c r="P7" s="5"/>
      <c r="Q7" s="5"/>
    </row>
    <row r="8" spans="1:17" ht="19.5" thickBot="1">
      <c r="A8" s="183" t="s">
        <v>108</v>
      </c>
      <c r="B8" s="60">
        <f>'Input,output'!H7</f>
        <v>1</v>
      </c>
      <c r="C8" s="6"/>
      <c r="D8" s="14"/>
      <c r="F8" s="185" t="s">
        <v>1</v>
      </c>
      <c r="G8" s="61">
        <f>'Input,output'!B8</f>
        <v>3</v>
      </c>
      <c r="H8" s="23" t="s">
        <v>3</v>
      </c>
      <c r="I8" s="5"/>
      <c r="J8" s="5"/>
      <c r="K8" s="5"/>
      <c r="L8" s="5"/>
      <c r="M8" s="5"/>
      <c r="N8" s="125"/>
      <c r="O8" s="5"/>
      <c r="P8" s="5"/>
      <c r="Q8" s="5"/>
    </row>
    <row r="9" spans="1:17" ht="19.5" thickBot="1">
      <c r="A9" s="184" t="s">
        <v>109</v>
      </c>
      <c r="B9" s="61">
        <f>'Input,output'!H8</f>
        <v>1</v>
      </c>
      <c r="C9" s="18"/>
      <c r="D9" s="23"/>
      <c r="F9" s="6"/>
      <c r="G9" s="6"/>
      <c r="H9" s="6"/>
      <c r="I9" s="5"/>
      <c r="J9" s="277" t="str">
        <f>IF(SUM(I4:I7)=4,"Profiel fysisch mogelijk","Profiel fysisch niet mogelijk")</f>
        <v>Profiel fysisch mogelijk</v>
      </c>
      <c r="K9" s="277"/>
      <c r="L9" s="277"/>
      <c r="M9" s="5"/>
      <c r="N9" s="126"/>
      <c r="O9" s="5"/>
      <c r="P9" s="5"/>
      <c r="Q9" s="5"/>
    </row>
    <row r="10" spans="1:17">
      <c r="A10" s="5"/>
      <c r="B10" s="28"/>
      <c r="C10" s="28"/>
      <c r="D10" s="28"/>
      <c r="I10" s="5"/>
      <c r="J10" s="5"/>
      <c r="K10" s="5"/>
      <c r="L10" s="6"/>
      <c r="M10" s="6"/>
      <c r="N10" s="126"/>
      <c r="O10" s="6"/>
      <c r="P10" s="5"/>
      <c r="Q10" s="5"/>
    </row>
    <row r="11" spans="1:17">
      <c r="A11" s="6"/>
      <c r="B11" s="5"/>
      <c r="C11" s="5"/>
      <c r="D11" s="7"/>
      <c r="E11" s="8"/>
      <c r="F11" s="5"/>
      <c r="G11" s="5"/>
      <c r="H11" s="5"/>
      <c r="I11" s="5"/>
      <c r="J11" s="5"/>
      <c r="K11" s="5"/>
      <c r="L11" s="5"/>
      <c r="M11" s="6"/>
      <c r="N11" s="126"/>
      <c r="O11" s="6"/>
      <c r="P11" s="5"/>
      <c r="Q11" s="5"/>
    </row>
    <row r="12" spans="1:17">
      <c r="A12" s="33" t="s">
        <v>27</v>
      </c>
      <c r="B12" s="28"/>
      <c r="C12" s="28"/>
      <c r="D12" s="28"/>
      <c r="E12" s="5"/>
      <c r="F12" s="5"/>
      <c r="G12" s="5"/>
      <c r="H12" s="5"/>
      <c r="I12" s="5"/>
      <c r="J12" s="5"/>
      <c r="L12" s="5"/>
      <c r="M12" s="6"/>
      <c r="N12" s="126"/>
      <c r="O12" s="6"/>
      <c r="P12" s="5"/>
      <c r="Q12" s="5"/>
    </row>
    <row r="13" spans="1:17" ht="16.5">
      <c r="A13" s="115" t="s">
        <v>28</v>
      </c>
      <c r="B13" s="27"/>
      <c r="C13" s="116" t="s">
        <v>100</v>
      </c>
      <c r="D13" s="57">
        <f>G7</f>
        <v>2</v>
      </c>
      <c r="E13" s="27" t="s">
        <v>59</v>
      </c>
      <c r="F13" s="34" t="str">
        <f>IF(G7&gt;=1,IF(G7&lt;=8,"Voldoet","Voldoet niet"),"Voldoet niet")</f>
        <v>Voldoet</v>
      </c>
      <c r="G13" s="5"/>
      <c r="H13" s="34"/>
      <c r="I13" s="27"/>
      <c r="K13" s="212" t="s">
        <v>106</v>
      </c>
      <c r="M13" s="6"/>
      <c r="N13" s="127"/>
      <c r="O13" s="6"/>
      <c r="P13" s="5"/>
      <c r="Q13" s="5"/>
    </row>
    <row r="14" spans="1:17">
      <c r="A14" s="115"/>
      <c r="B14" s="27"/>
      <c r="C14" s="116"/>
      <c r="D14" s="57"/>
      <c r="E14" s="27"/>
      <c r="F14" s="34"/>
      <c r="G14" s="5"/>
      <c r="H14" s="34"/>
      <c r="I14" s="27"/>
      <c r="K14" s="212"/>
      <c r="M14" s="6"/>
      <c r="N14" s="127"/>
      <c r="O14" s="6"/>
      <c r="P14" s="5"/>
      <c r="Q14" s="5"/>
    </row>
    <row r="15" spans="1:17">
      <c r="A15" s="278" t="s">
        <v>29</v>
      </c>
      <c r="B15" s="278"/>
      <c r="C15" s="278"/>
      <c r="D15" s="28"/>
      <c r="E15" s="5"/>
      <c r="F15" s="5"/>
      <c r="G15" s="5"/>
      <c r="H15" s="35"/>
      <c r="I15" s="27"/>
      <c r="J15" s="74"/>
      <c r="K15" s="213"/>
      <c r="M15" s="6"/>
      <c r="N15" s="127"/>
      <c r="O15" s="6"/>
      <c r="P15" s="5"/>
      <c r="Q15" s="5"/>
    </row>
    <row r="16" spans="1:17" ht="16.5">
      <c r="A16" s="279" t="s">
        <v>33</v>
      </c>
      <c r="B16" s="279"/>
      <c r="C16" s="186" t="s">
        <v>32</v>
      </c>
      <c r="D16" s="57">
        <f>G4/G7</f>
        <v>125</v>
      </c>
      <c r="E16" s="27" t="s">
        <v>55</v>
      </c>
      <c r="F16" s="35" t="str">
        <f>IF(D16&lt;=500,"Voldoet","Voldoet niet")</f>
        <v>Voldoet</v>
      </c>
      <c r="G16" s="5"/>
      <c r="H16" s="35"/>
      <c r="I16" s="27"/>
      <c r="K16" s="212" t="s">
        <v>95</v>
      </c>
      <c r="M16" s="6"/>
      <c r="N16" s="127"/>
      <c r="O16" s="6"/>
      <c r="P16" s="5"/>
      <c r="Q16" s="5"/>
    </row>
    <row r="17" spans="1:17" ht="16.5">
      <c r="A17" s="279" t="s">
        <v>34</v>
      </c>
      <c r="B17" s="279"/>
      <c r="C17" s="186" t="s">
        <v>35</v>
      </c>
      <c r="D17" s="57">
        <f>G5/G7</f>
        <v>37.5</v>
      </c>
      <c r="E17" s="27" t="s">
        <v>56</v>
      </c>
      <c r="F17" s="35" t="str">
        <f>IF(D17&lt;=60,"Voldoet","Voldoet niet")</f>
        <v>Voldoet</v>
      </c>
      <c r="G17" s="34"/>
      <c r="H17" s="34"/>
      <c r="I17" s="34"/>
      <c r="K17" s="212" t="s">
        <v>95</v>
      </c>
      <c r="M17" s="6"/>
      <c r="N17" s="127"/>
      <c r="O17" s="6"/>
      <c r="P17" s="5"/>
      <c r="Q17" s="5"/>
    </row>
    <row r="18" spans="1:17" ht="16.5">
      <c r="A18" s="279" t="s">
        <v>98</v>
      </c>
      <c r="B18" s="279"/>
      <c r="C18" s="186" t="s">
        <v>31</v>
      </c>
      <c r="D18" s="57">
        <f>G6/G7</f>
        <v>12.5</v>
      </c>
      <c r="E18" s="27" t="s">
        <v>54</v>
      </c>
      <c r="F18" s="35" t="str">
        <f>IF(D18&lt;=50,"Voldoet","Voldoet niet")</f>
        <v>Voldoet</v>
      </c>
      <c r="G18" s="5"/>
      <c r="H18" s="35"/>
      <c r="I18" s="27"/>
      <c r="K18" s="212" t="s">
        <v>95</v>
      </c>
      <c r="M18" s="6"/>
      <c r="N18" s="127"/>
      <c r="O18" s="6"/>
      <c r="P18" s="5"/>
      <c r="Q18" s="5"/>
    </row>
    <row r="19" spans="1:17" ht="15" customHeight="1">
      <c r="A19" s="279" t="s">
        <v>98</v>
      </c>
      <c r="B19" s="279"/>
      <c r="C19" s="187" t="s">
        <v>97</v>
      </c>
      <c r="D19" s="156">
        <f>G6/G5</f>
        <v>0.33333333333333331</v>
      </c>
      <c r="E19" s="145" t="s">
        <v>101</v>
      </c>
      <c r="F19" s="281" t="str">
        <f>IF(D20&lt;=0.6,IF(D20&gt;=0.2,"De lip mag worden meegenomen in de berekening","Lipafmetingen te klein. Bereken C-profiel als U-profiel met dezelfde b als C-profiel"),"Lipafmetingen te groot. Geen verdere berekening mogelijk")</f>
        <v>De lip mag worden meegenomen in de berekening</v>
      </c>
      <c r="G19" s="281"/>
      <c r="H19" s="281"/>
      <c r="I19" s="281"/>
      <c r="J19" s="162"/>
      <c r="K19" s="212" t="s">
        <v>96</v>
      </c>
      <c r="M19" s="6"/>
      <c r="N19" s="127"/>
      <c r="O19" s="6"/>
      <c r="P19" s="5"/>
      <c r="Q19" s="5"/>
    </row>
    <row r="20" spans="1:17">
      <c r="A20" s="5"/>
      <c r="B20" s="5"/>
      <c r="C20" s="187" t="s">
        <v>97</v>
      </c>
      <c r="D20" s="57">
        <f>G6/G5</f>
        <v>0.33333333333333331</v>
      </c>
      <c r="E20" s="27" t="s">
        <v>60</v>
      </c>
      <c r="F20" s="281"/>
      <c r="G20" s="281"/>
      <c r="H20" s="281"/>
      <c r="I20" s="281"/>
      <c r="J20" s="162"/>
      <c r="K20" s="212" t="s">
        <v>96</v>
      </c>
      <c r="M20" s="6"/>
      <c r="N20" s="127"/>
      <c r="O20" s="6"/>
      <c r="P20" s="5"/>
      <c r="Q20" s="5"/>
    </row>
    <row r="21" spans="1:17">
      <c r="A21" s="6"/>
      <c r="B21" s="5"/>
      <c r="C21" s="188"/>
      <c r="D21" s="7"/>
      <c r="E21" s="8"/>
      <c r="F21" s="5"/>
      <c r="G21" s="5"/>
      <c r="H21" s="5"/>
      <c r="I21" s="5"/>
      <c r="J21" s="73"/>
      <c r="K21" s="212"/>
      <c r="M21" s="6"/>
      <c r="N21" s="127"/>
      <c r="O21" s="6"/>
      <c r="P21" s="5"/>
      <c r="Q21" s="5"/>
    </row>
    <row r="22" spans="1:17" ht="18.75">
      <c r="A22" s="6"/>
      <c r="B22" s="5"/>
      <c r="C22" s="177" t="s">
        <v>1</v>
      </c>
      <c r="D22" s="108" t="s">
        <v>37</v>
      </c>
      <c r="E22" s="5" t="s">
        <v>111</v>
      </c>
      <c r="F22" s="5"/>
      <c r="G22" s="5"/>
      <c r="H22" s="5"/>
      <c r="I22" s="5"/>
      <c r="J22" s="73"/>
      <c r="K22" s="212" t="s">
        <v>74</v>
      </c>
      <c r="M22" s="6"/>
      <c r="N22" s="127"/>
      <c r="O22" s="6"/>
      <c r="P22" s="5"/>
      <c r="Q22" s="5"/>
    </row>
    <row r="23" spans="1:17">
      <c r="A23" s="6"/>
      <c r="B23" s="5"/>
      <c r="C23" s="5">
        <f>G8</f>
        <v>3</v>
      </c>
      <c r="D23" s="108" t="s">
        <v>37</v>
      </c>
      <c r="E23" s="111">
        <f>0.04*G7*B4/B7</f>
        <v>48</v>
      </c>
      <c r="F23" s="36" t="str">
        <f>IF(C23&gt;E23,"Voldoet niet","Voldoet")</f>
        <v>Voldoet</v>
      </c>
      <c r="G23" s="5"/>
      <c r="H23" s="5"/>
      <c r="I23" s="5"/>
      <c r="J23" s="73"/>
      <c r="K23" s="212"/>
      <c r="M23" s="6"/>
      <c r="N23" s="127"/>
      <c r="O23" s="6"/>
      <c r="P23" s="5"/>
      <c r="Q23" s="5"/>
    </row>
    <row r="24" spans="1:17">
      <c r="A24" s="6"/>
      <c r="B24" s="5"/>
      <c r="C24" s="5"/>
      <c r="D24" s="108"/>
      <c r="E24" s="106"/>
      <c r="F24" s="36"/>
      <c r="G24" s="5"/>
      <c r="H24" s="5"/>
      <c r="I24" s="5"/>
      <c r="J24" s="73"/>
      <c r="K24" s="212"/>
      <c r="M24" s="6"/>
      <c r="N24" s="127"/>
      <c r="O24" s="6"/>
      <c r="P24" s="5"/>
      <c r="Q24" s="5"/>
    </row>
    <row r="25" spans="1:17">
      <c r="A25" s="6"/>
      <c r="B25" s="5"/>
      <c r="C25" s="5"/>
      <c r="D25" s="7"/>
      <c r="E25" s="8"/>
      <c r="F25" s="5"/>
      <c r="G25" s="5"/>
      <c r="H25" s="5"/>
      <c r="I25" s="5"/>
      <c r="J25" s="73"/>
      <c r="K25" s="212"/>
      <c r="M25" s="6"/>
      <c r="N25" s="127"/>
      <c r="O25" s="6"/>
      <c r="P25" s="5"/>
      <c r="Q25" s="5"/>
    </row>
    <row r="26" spans="1:17">
      <c r="A26" s="33" t="s">
        <v>36</v>
      </c>
      <c r="B26" s="28"/>
      <c r="C26" s="28"/>
      <c r="D26" s="28"/>
      <c r="E26" s="28"/>
      <c r="F26" s="28"/>
      <c r="G26" s="5"/>
      <c r="H26" s="5"/>
      <c r="I26" s="5"/>
      <c r="J26" s="73"/>
      <c r="K26" s="212"/>
      <c r="M26" s="5"/>
      <c r="N26" s="127"/>
      <c r="O26" s="6"/>
      <c r="P26" s="5"/>
      <c r="Q26" s="5"/>
    </row>
    <row r="27" spans="1:17" ht="15.75">
      <c r="A27" s="277" t="s">
        <v>128</v>
      </c>
      <c r="B27" s="277"/>
      <c r="C27" s="28">
        <f>G8</f>
        <v>3</v>
      </c>
      <c r="D27" s="82" t="s">
        <v>37</v>
      </c>
      <c r="E27" s="37">
        <f>5*G7</f>
        <v>10</v>
      </c>
      <c r="F27" s="280" t="str">
        <f>IF(C27&lt;=E27,IF(C28&lt;=E28,"Invl. afrondingsstralen mag worden genegeerd","Invl. afrondingsstralen mag niet worden genegeerd"),"Invl. afrondingsstralen mag niet worden genegeerd")</f>
        <v>Invl. afrondingsstralen mag niet worden genegeerd</v>
      </c>
      <c r="G27" s="280"/>
      <c r="H27" s="280"/>
      <c r="I27" s="280"/>
      <c r="K27" s="214" t="s">
        <v>62</v>
      </c>
      <c r="N27" s="126"/>
      <c r="Q27" s="5"/>
    </row>
    <row r="28" spans="1:17" ht="18.75">
      <c r="A28" s="277" t="s">
        <v>129</v>
      </c>
      <c r="B28" s="277"/>
      <c r="C28" s="28">
        <f>G8</f>
        <v>3</v>
      </c>
      <c r="D28" s="82" t="s">
        <v>37</v>
      </c>
      <c r="E28" s="137">
        <f>0.1*MIN(B46,D46,F46)</f>
        <v>2.2828427124746193</v>
      </c>
      <c r="F28" s="280"/>
      <c r="G28" s="280"/>
      <c r="H28" s="280"/>
      <c r="I28" s="280"/>
      <c r="K28" s="214" t="s">
        <v>62</v>
      </c>
      <c r="M28" s="5"/>
      <c r="N28" s="6"/>
      <c r="O28" s="47"/>
      <c r="P28" s="5"/>
      <c r="Q28" s="5"/>
    </row>
    <row r="29" spans="1:17" ht="15.75">
      <c r="A29" s="109"/>
      <c r="B29" s="109"/>
      <c r="C29" s="28"/>
      <c r="D29" s="82"/>
      <c r="E29" s="37"/>
      <c r="F29" s="107"/>
      <c r="G29" s="107"/>
      <c r="H29" s="107"/>
      <c r="I29" s="107"/>
      <c r="K29" s="79"/>
      <c r="L29" s="5"/>
      <c r="M29" s="5"/>
      <c r="N29" s="6"/>
      <c r="O29" s="47"/>
      <c r="P29" s="5"/>
      <c r="Q29" s="5"/>
    </row>
    <row r="30" spans="1:17" ht="16.5">
      <c r="A30" s="109"/>
      <c r="B30" s="109"/>
      <c r="C30" s="28"/>
      <c r="D30" s="82"/>
      <c r="E30" s="37"/>
      <c r="F30" s="107"/>
      <c r="G30" s="107"/>
      <c r="H30" s="107"/>
      <c r="I30" s="107"/>
      <c r="K30" s="79"/>
      <c r="L30" s="5"/>
      <c r="M30" s="5"/>
      <c r="N30" s="135"/>
      <c r="O30" s="47"/>
      <c r="P30" s="5"/>
      <c r="Q30" s="5"/>
    </row>
    <row r="31" spans="1:17" ht="15.75">
      <c r="A31" s="109"/>
      <c r="B31" s="109"/>
      <c r="C31" s="28"/>
      <c r="D31" s="82"/>
      <c r="E31" s="37"/>
      <c r="F31" s="107"/>
      <c r="G31" s="107"/>
      <c r="H31" s="107"/>
      <c r="K31" s="79"/>
      <c r="L31" s="5"/>
      <c r="M31" s="5"/>
      <c r="N31" s="6"/>
      <c r="O31" s="47"/>
      <c r="P31" s="5"/>
      <c r="Q31" s="5"/>
    </row>
    <row r="32" spans="1:17" ht="16.5" thickBot="1">
      <c r="A32" s="109"/>
      <c r="B32" s="109"/>
      <c r="C32" s="28"/>
      <c r="D32" s="82"/>
      <c r="F32" s="107"/>
      <c r="G32" s="107"/>
      <c r="H32" s="107"/>
      <c r="I32" s="107"/>
      <c r="K32" s="79"/>
      <c r="L32" s="5"/>
      <c r="M32" s="5"/>
      <c r="N32" s="6"/>
      <c r="O32" s="136"/>
      <c r="P32" s="5"/>
      <c r="Q32" s="5"/>
    </row>
    <row r="33" spans="1:17" ht="15.75" thickBot="1">
      <c r="A33" s="40" t="s">
        <v>0</v>
      </c>
      <c r="B33" s="41"/>
      <c r="C33" s="42"/>
      <c r="D33" s="42"/>
      <c r="H33" s="7"/>
      <c r="I33" s="5"/>
      <c r="J33" s="126"/>
      <c r="L33" s="5"/>
      <c r="M33" s="5"/>
    </row>
    <row r="34" spans="1:17" ht="18.75">
      <c r="A34" s="189" t="s">
        <v>130</v>
      </c>
      <c r="B34" s="63">
        <f>G8+(0.5*G7)</f>
        <v>4</v>
      </c>
      <c r="C34" s="11" t="s">
        <v>3</v>
      </c>
      <c r="D34" s="24"/>
      <c r="J34" s="188" t="s">
        <v>190</v>
      </c>
      <c r="L34" s="5"/>
      <c r="M34" s="5"/>
    </row>
    <row r="35" spans="1:17" ht="18.75">
      <c r="A35" s="183" t="s">
        <v>21</v>
      </c>
      <c r="B35" s="64">
        <f>B34*(TAN(45*PI()/180)-SIN(45*PI()/180))</f>
        <v>1.1715728752538097</v>
      </c>
      <c r="C35" s="6" t="s">
        <v>3</v>
      </c>
      <c r="D35" s="14"/>
      <c r="J35" s="188" t="s">
        <v>191</v>
      </c>
      <c r="L35" s="5"/>
      <c r="M35" s="5"/>
    </row>
    <row r="36" spans="1:17" ht="21.75">
      <c r="A36" s="190" t="s">
        <v>189</v>
      </c>
      <c r="B36" s="64">
        <f>0.5*PI()*B34</f>
        <v>6.2831853071795862</v>
      </c>
      <c r="C36" s="6" t="s">
        <v>3</v>
      </c>
      <c r="D36" s="14"/>
      <c r="J36" s="188" t="s">
        <v>194</v>
      </c>
      <c r="L36" s="5"/>
      <c r="M36" s="5"/>
    </row>
    <row r="37" spans="1:17" ht="18.75">
      <c r="A37" s="183" t="s">
        <v>132</v>
      </c>
      <c r="B37" s="64">
        <f>0.637*B34</f>
        <v>2.548</v>
      </c>
      <c r="C37" s="6" t="s">
        <v>3</v>
      </c>
      <c r="D37" s="14"/>
      <c r="J37" s="188" t="s">
        <v>192</v>
      </c>
      <c r="L37" s="5"/>
      <c r="M37" s="5"/>
    </row>
    <row r="38" spans="1:17" ht="18.75">
      <c r="A38" s="183" t="s">
        <v>133</v>
      </c>
      <c r="B38" s="64">
        <f>0.149*(POWER(B34,3)*G7)</f>
        <v>19.071999999999999</v>
      </c>
      <c r="C38" s="6" t="s">
        <v>18</v>
      </c>
      <c r="D38" s="14"/>
      <c r="E38" s="28"/>
      <c r="H38" s="28"/>
      <c r="J38" s="188" t="s">
        <v>193</v>
      </c>
      <c r="L38" s="5"/>
      <c r="M38" s="5"/>
    </row>
    <row r="39" spans="1:17" ht="19.5" thickBot="1">
      <c r="A39" s="185" t="s">
        <v>160</v>
      </c>
      <c r="B39" s="65">
        <f>B36*G7</f>
        <v>12.566370614359172</v>
      </c>
      <c r="C39" s="18" t="s">
        <v>8</v>
      </c>
      <c r="D39" s="23"/>
      <c r="E39" s="6"/>
      <c r="H39" s="28"/>
      <c r="J39" s="188" t="s">
        <v>195</v>
      </c>
      <c r="L39" s="5"/>
      <c r="M39" s="5"/>
    </row>
    <row r="40" spans="1:17">
      <c r="A40" s="123" t="str">
        <f>IF(B34=0,"Let op! Er wordt gerekend met rechte hoeken!"," ")</f>
        <v xml:space="preserve"> </v>
      </c>
      <c r="B40" s="47"/>
      <c r="C40" s="6"/>
      <c r="D40" s="28"/>
      <c r="E40" s="28"/>
      <c r="F40" s="28"/>
      <c r="G40" s="28"/>
      <c r="J40" s="2"/>
      <c r="K40" s="28"/>
      <c r="L40" s="28"/>
      <c r="N40" s="126"/>
      <c r="P40" s="5"/>
      <c r="Q40" s="5"/>
    </row>
    <row r="41" spans="1:17" ht="15.75" thickBot="1">
      <c r="A41" s="7"/>
      <c r="B41" s="47"/>
      <c r="C41" s="6"/>
      <c r="D41" s="28"/>
      <c r="E41" s="28"/>
      <c r="F41" s="28"/>
      <c r="G41" s="28"/>
      <c r="J41" s="2"/>
      <c r="K41" s="28"/>
      <c r="L41" s="28"/>
      <c r="M41" s="28"/>
      <c r="N41" s="127"/>
      <c r="O41" s="6"/>
      <c r="P41" s="5"/>
      <c r="Q41" s="5"/>
    </row>
    <row r="42" spans="1:17" ht="15.75" thickBot="1">
      <c r="A42" s="40" t="s">
        <v>26</v>
      </c>
      <c r="B42" s="41"/>
      <c r="C42" s="41"/>
      <c r="D42" s="41"/>
      <c r="E42" s="41"/>
      <c r="F42" s="42"/>
      <c r="H42" s="6"/>
      <c r="I42" s="127"/>
      <c r="J42" s="6"/>
      <c r="K42" s="5"/>
      <c r="L42" s="5"/>
    </row>
    <row r="43" spans="1:17" ht="18.75">
      <c r="A43" s="172" t="s">
        <v>4</v>
      </c>
      <c r="B43" s="63">
        <f>G4</f>
        <v>250</v>
      </c>
      <c r="C43" s="191" t="s">
        <v>5</v>
      </c>
      <c r="D43" s="63">
        <f>G5</f>
        <v>75</v>
      </c>
      <c r="E43" s="191" t="s">
        <v>6</v>
      </c>
      <c r="F43" s="66">
        <f>G6</f>
        <v>25</v>
      </c>
      <c r="H43" s="7"/>
      <c r="I43" s="188" t="s">
        <v>197</v>
      </c>
      <c r="J43" s="188"/>
      <c r="K43" s="188" t="s">
        <v>215</v>
      </c>
      <c r="L43" s="188"/>
      <c r="M43" s="188" t="s">
        <v>216</v>
      </c>
      <c r="N43" s="188"/>
    </row>
    <row r="44" spans="1:17" ht="18.75">
      <c r="A44" s="172" t="s">
        <v>157</v>
      </c>
      <c r="B44" s="64">
        <f>B43-G7</f>
        <v>248</v>
      </c>
      <c r="C44" s="200" t="s">
        <v>154</v>
      </c>
      <c r="D44" s="64">
        <f>D43-G7</f>
        <v>73</v>
      </c>
      <c r="E44" s="200" t="s">
        <v>151</v>
      </c>
      <c r="F44" s="67">
        <f>F43-(0.5*G7)</f>
        <v>24</v>
      </c>
      <c r="H44" s="7"/>
      <c r="I44" s="188" t="s">
        <v>198</v>
      </c>
      <c r="J44" s="188"/>
      <c r="K44" s="188" t="s">
        <v>217</v>
      </c>
      <c r="L44" s="188"/>
      <c r="M44" s="188" t="s">
        <v>218</v>
      </c>
      <c r="N44" s="188"/>
    </row>
    <row r="45" spans="1:17" ht="18.75">
      <c r="A45" s="172" t="s">
        <v>158</v>
      </c>
      <c r="B45" s="70">
        <f>B44-(2*B34)</f>
        <v>240</v>
      </c>
      <c r="C45" s="200" t="s">
        <v>155</v>
      </c>
      <c r="D45" s="70">
        <f>D44-(2*B34)</f>
        <v>65</v>
      </c>
      <c r="E45" s="200" t="s">
        <v>152</v>
      </c>
      <c r="F45" s="102">
        <f>F44-B34</f>
        <v>20</v>
      </c>
      <c r="G45" s="131"/>
      <c r="H45" s="6"/>
      <c r="I45" s="188" t="s">
        <v>199</v>
      </c>
      <c r="J45" s="188"/>
      <c r="K45" s="188" t="s">
        <v>219</v>
      </c>
      <c r="L45" s="188"/>
      <c r="M45" s="188" t="s">
        <v>220</v>
      </c>
      <c r="N45" s="188"/>
    </row>
    <row r="46" spans="1:17" ht="19.5" thickBot="1">
      <c r="A46" s="185" t="s">
        <v>159</v>
      </c>
      <c r="B46" s="65">
        <f>B44-(2*B35)</f>
        <v>245.65685424949237</v>
      </c>
      <c r="C46" s="201" t="s">
        <v>156</v>
      </c>
      <c r="D46" s="65">
        <f>D44-(2*B35)</f>
        <v>70.656854249492383</v>
      </c>
      <c r="E46" s="201" t="s">
        <v>153</v>
      </c>
      <c r="F46" s="68">
        <f>F44-B35</f>
        <v>22.828427124746192</v>
      </c>
      <c r="H46" s="6"/>
      <c r="I46" s="125"/>
      <c r="J46" s="188"/>
      <c r="K46" s="188"/>
      <c r="L46" s="188"/>
      <c r="M46" s="188"/>
      <c r="N46" s="188"/>
    </row>
    <row r="47" spans="1:17">
      <c r="I47" s="5"/>
      <c r="J47" s="188"/>
      <c r="K47" s="188"/>
      <c r="L47" s="188"/>
      <c r="M47" s="188"/>
      <c r="N47" s="188"/>
    </row>
    <row r="48" spans="1:17" ht="15.75" thickBot="1">
      <c r="I48" s="47"/>
      <c r="J48" s="188"/>
      <c r="K48" s="188"/>
      <c r="L48" s="188"/>
      <c r="M48" s="188"/>
      <c r="N48" s="188"/>
    </row>
    <row r="49" spans="1:17" ht="15.75" thickBot="1">
      <c r="A49" s="228" t="s">
        <v>134</v>
      </c>
      <c r="B49" s="41"/>
      <c r="C49" s="41"/>
      <c r="D49" s="41"/>
      <c r="E49" s="46"/>
      <c r="F49" s="41"/>
      <c r="G49" s="41"/>
      <c r="H49" s="42"/>
      <c r="I49" s="28"/>
      <c r="J49" s="188"/>
      <c r="K49" s="188"/>
      <c r="L49" s="188"/>
      <c r="M49" s="188"/>
      <c r="N49" s="188"/>
    </row>
    <row r="50" spans="1:17" ht="15.75">
      <c r="A50" s="192" t="s">
        <v>135</v>
      </c>
      <c r="B50" s="86"/>
      <c r="C50" s="86"/>
      <c r="D50" s="229" t="s">
        <v>136</v>
      </c>
      <c r="E50" s="39"/>
      <c r="F50" s="39"/>
      <c r="G50" s="38"/>
      <c r="H50" s="76"/>
      <c r="I50" s="28"/>
      <c r="J50" s="5"/>
      <c r="K50" s="124"/>
      <c r="L50" s="5"/>
    </row>
    <row r="51" spans="1:17" ht="18.75">
      <c r="A51" s="193" t="s">
        <v>141</v>
      </c>
      <c r="B51" s="72">
        <f>(2*G5*G7)+(G7*(G4-(2*G7)))+(2*G7*(G6-G7))</f>
        <v>884</v>
      </c>
      <c r="C51" s="118" t="s">
        <v>8</v>
      </c>
      <c r="D51" s="198" t="s">
        <v>144</v>
      </c>
      <c r="E51" s="72">
        <f>(G7*B45)+(2*D45*G7)+(2*G7*F45)+(4*B39)</f>
        <v>870.26548245743675</v>
      </c>
      <c r="F51" s="119" t="s">
        <v>8</v>
      </c>
      <c r="G51" s="120"/>
      <c r="H51" s="121"/>
      <c r="I51" s="28"/>
      <c r="J51" s="188" t="s">
        <v>200</v>
      </c>
      <c r="K51" s="5"/>
      <c r="L51" s="5"/>
      <c r="M51" s="5"/>
    </row>
    <row r="52" spans="1:17" ht="18.75">
      <c r="A52" s="194" t="s">
        <v>142</v>
      </c>
      <c r="B52" s="64">
        <f>(((2*G5*G7*(0.5*G5))+(G7*(G4-(2*G7))*(0.5*G7))+(2*G7*(G6-G7)*(G5-(0.5*G7))))/B51)-(G7/2)</f>
        <v>19.9841628959276</v>
      </c>
      <c r="C52" s="69" t="s">
        <v>3</v>
      </c>
      <c r="D52" s="196" t="s">
        <v>145</v>
      </c>
      <c r="E52" s="64">
        <f>(((B45*G7*(0.5*G7))+(2*B39*((B34-B37)+(0.5*G7)))+(2*D45*G7*(0.5*G5))+(2*B39*(G5-((0.5*G7)+(B34-B37))))+(2*F45*G7*(G5-(0.5*G7))))/E51)-(G7/2)</f>
        <v>19.723510188209652</v>
      </c>
      <c r="F52" s="81" t="s">
        <v>3</v>
      </c>
      <c r="G52" s="2"/>
      <c r="H52" s="14"/>
      <c r="I52" s="28"/>
      <c r="J52" s="188" t="s">
        <v>202</v>
      </c>
      <c r="K52" s="5"/>
      <c r="L52" s="5"/>
      <c r="M52" s="5"/>
    </row>
    <row r="53" spans="1:17" ht="18.75">
      <c r="A53" s="194" t="s">
        <v>143</v>
      </c>
      <c r="B53" s="64">
        <f>B44/2</f>
        <v>124</v>
      </c>
      <c r="C53" s="69" t="s">
        <v>3</v>
      </c>
      <c r="D53" s="196" t="s">
        <v>146</v>
      </c>
      <c r="E53" s="64">
        <f>B44/2</f>
        <v>124</v>
      </c>
      <c r="F53" s="80" t="s">
        <v>3</v>
      </c>
      <c r="G53" s="2"/>
      <c r="H53" s="14"/>
      <c r="I53" s="28"/>
      <c r="J53" s="188" t="s">
        <v>204</v>
      </c>
      <c r="K53" s="5"/>
      <c r="L53" s="5"/>
      <c r="M53" s="5"/>
    </row>
    <row r="54" spans="1:17" ht="18.75">
      <c r="A54" s="195" t="s">
        <v>137</v>
      </c>
      <c r="B54" s="164">
        <f>(2*(D44*G7*POWER((B44/2),2)))+((1/12)*G7*POWER(B44,3))+(2*(((1/12)*G7*POWER((F44),3))+(G7*(F44)*POWER(((B44/2)-F44+(F44/2)),2))))</f>
        <v>8240789.333333333</v>
      </c>
      <c r="C54" s="69" t="s">
        <v>18</v>
      </c>
      <c r="D54" s="196" t="s">
        <v>147</v>
      </c>
      <c r="E54" s="166">
        <f>(2*((D45*G7*POWER((B44/2),2))))+((1/12)*G7*POWER(B45,3))+(4*(B38+(B39*POWER(((B45/2)+B37),2))))+(2*(((1/12)*G7*POWER(F45,3))+(G7*F45*POWER(((G4/2)-G6+(F45/2)),2))))</f>
        <v>8027390.5886789476</v>
      </c>
      <c r="F54" s="81" t="s">
        <v>18</v>
      </c>
      <c r="G54" s="2"/>
      <c r="H54" s="14"/>
      <c r="I54" s="28"/>
      <c r="J54" s="188" t="s">
        <v>221</v>
      </c>
      <c r="K54" s="5"/>
      <c r="L54" s="5"/>
      <c r="M54" s="5"/>
    </row>
    <row r="55" spans="1:17" ht="18.75">
      <c r="A55" s="195" t="s">
        <v>138</v>
      </c>
      <c r="B55" s="165">
        <f>(G7*B44*(B52^2))+(2/12*G7*(D44^3))+(2*G7*D44*(D44/2-B52)^2)+(2*G7*F44*(D44-B52)^2)</f>
        <v>677233.1116138763</v>
      </c>
      <c r="C55" s="69" t="s">
        <v>18</v>
      </c>
      <c r="D55" s="196" t="s">
        <v>148</v>
      </c>
      <c r="E55" s="166">
        <f>((B45*G7*POWER(E52,2)))+(2*(B38+(B39*POWER((E52-(B34-B37)),2))))+(2*(((1/12)*G7*POWER(D45,3))+(D45*G7*POWER(((D44/2)-E52),2))))+(2*(B38+(B39*POWER(((D44-(B34-B37))-E52),2))))+(2*((F45*G7*POWER((D44-E52),2))))</f>
        <v>654485.42725761607</v>
      </c>
      <c r="F55" s="81" t="s">
        <v>18</v>
      </c>
      <c r="G55" s="2"/>
      <c r="H55" s="14"/>
      <c r="I55" s="28"/>
      <c r="J55" s="188" t="s">
        <v>222</v>
      </c>
      <c r="K55" s="5"/>
      <c r="L55" s="5"/>
      <c r="M55" s="5"/>
    </row>
    <row r="56" spans="1:17" ht="18.75">
      <c r="A56" s="195" t="s">
        <v>139</v>
      </c>
      <c r="B56" s="141">
        <f>SQRT(B54/B51)</f>
        <v>96.551332871878827</v>
      </c>
      <c r="C56" s="69" t="s">
        <v>3</v>
      </c>
      <c r="D56" s="196" t="s">
        <v>149</v>
      </c>
      <c r="E56" s="141">
        <f>SQRT(E54/E51)</f>
        <v>96.042027196942414</v>
      </c>
      <c r="F56" s="81" t="s">
        <v>3</v>
      </c>
      <c r="G56" s="2"/>
      <c r="H56" s="14"/>
      <c r="I56" s="28"/>
      <c r="J56" s="188" t="s">
        <v>210</v>
      </c>
      <c r="K56" s="5"/>
      <c r="L56" s="5"/>
      <c r="M56" s="5"/>
    </row>
    <row r="57" spans="1:17" ht="19.5" thickBot="1">
      <c r="A57" s="197" t="s">
        <v>140</v>
      </c>
      <c r="B57" s="142">
        <f>SQRT(B55/B51)</f>
        <v>27.678526062510496</v>
      </c>
      <c r="C57" s="62" t="s">
        <v>3</v>
      </c>
      <c r="D57" s="199" t="s">
        <v>150</v>
      </c>
      <c r="E57" s="142">
        <f>SQRT(E55/E51)</f>
        <v>27.423577624923073</v>
      </c>
      <c r="F57" s="98" t="s">
        <v>3</v>
      </c>
      <c r="G57" s="3"/>
      <c r="H57" s="23"/>
      <c r="I57" s="28"/>
      <c r="J57" s="188" t="s">
        <v>212</v>
      </c>
      <c r="K57" s="5"/>
      <c r="L57" s="5"/>
      <c r="M57" s="5"/>
    </row>
    <row r="58" spans="1:17" ht="15.75">
      <c r="A58" s="123" t="str">
        <f>IF(B34=0,"Let op! Er wordt gerekend met rechte hoeken!"," ")</f>
        <v xml:space="preserve"> </v>
      </c>
      <c r="B58" s="7"/>
      <c r="C58" s="7"/>
      <c r="D58" s="7"/>
      <c r="E58" s="29"/>
      <c r="F58" s="47"/>
      <c r="G58" s="7"/>
      <c r="H58" s="6"/>
      <c r="I58" s="28"/>
      <c r="J58" s="30"/>
      <c r="K58" s="6"/>
      <c r="L58" s="6"/>
      <c r="M58" s="5"/>
    </row>
    <row r="59" spans="1:17" ht="15.75">
      <c r="A59" s="29"/>
      <c r="B59" s="7"/>
      <c r="C59" s="7"/>
      <c r="D59" s="7"/>
      <c r="E59" s="29"/>
      <c r="F59" s="47"/>
      <c r="G59" s="7"/>
      <c r="H59" s="6"/>
      <c r="I59" s="28"/>
      <c r="J59" s="30"/>
      <c r="K59" s="6"/>
      <c r="L59" s="6"/>
      <c r="M59" s="5"/>
    </row>
    <row r="60" spans="1:17" ht="15.75">
      <c r="A60" s="29"/>
      <c r="B60" s="7"/>
      <c r="C60" s="7"/>
      <c r="D60" s="7"/>
      <c r="E60" s="29"/>
      <c r="F60" s="47"/>
      <c r="G60" s="7"/>
      <c r="H60" s="6"/>
      <c r="I60" s="28"/>
      <c r="M60" s="6"/>
      <c r="N60" s="125"/>
      <c r="O60" s="5"/>
      <c r="P60" s="5"/>
      <c r="Q60" s="5"/>
    </row>
    <row r="61" spans="1:17" ht="15.75">
      <c r="A61" s="29"/>
      <c r="B61" s="7"/>
      <c r="C61" s="7"/>
      <c r="D61" s="7"/>
      <c r="E61" s="29"/>
      <c r="F61" s="47"/>
      <c r="G61" s="7"/>
      <c r="H61" s="6"/>
      <c r="I61" s="28"/>
      <c r="M61" s="6"/>
      <c r="N61" s="125"/>
      <c r="O61" s="5"/>
      <c r="P61" s="5"/>
      <c r="Q61" s="5"/>
    </row>
    <row r="62" spans="1:17" ht="15.75">
      <c r="A62" s="29"/>
      <c r="B62" s="7"/>
      <c r="C62" s="7"/>
      <c r="D62" s="7"/>
      <c r="E62" s="29"/>
      <c r="F62" s="47"/>
      <c r="G62" s="7"/>
      <c r="H62" s="6"/>
      <c r="I62" s="28"/>
    </row>
    <row r="63" spans="1:17" ht="15.75">
      <c r="A63" s="29"/>
      <c r="B63" s="7"/>
      <c r="C63" s="7"/>
      <c r="D63" s="7"/>
      <c r="E63" s="29"/>
      <c r="F63" s="47"/>
      <c r="G63" s="7"/>
      <c r="H63" s="6"/>
      <c r="I63" s="28"/>
    </row>
    <row r="64" spans="1:17" ht="15.75">
      <c r="A64" s="29"/>
      <c r="B64" s="7"/>
      <c r="C64" s="7"/>
      <c r="D64" s="7"/>
      <c r="E64" s="29"/>
      <c r="F64" s="47"/>
      <c r="G64" s="7"/>
      <c r="H64" s="6"/>
      <c r="I64" s="28"/>
      <c r="J64" s="2"/>
      <c r="K64" s="2"/>
      <c r="L64" s="2"/>
    </row>
    <row r="65" spans="7:12">
      <c r="J65" s="2"/>
      <c r="K65" s="2"/>
      <c r="L65" s="2"/>
    </row>
    <row r="69" spans="7:12">
      <c r="G69" s="2"/>
      <c r="H69" s="2"/>
      <c r="I69" s="2"/>
    </row>
    <row r="70" spans="7:12">
      <c r="G70" s="2"/>
      <c r="H70" s="2"/>
      <c r="I70" s="2"/>
    </row>
    <row r="71" spans="7:12">
      <c r="G71" s="2"/>
    </row>
    <row r="72" spans="7:12">
      <c r="G72" s="2"/>
    </row>
    <row r="73" spans="7:12">
      <c r="G73" s="2"/>
    </row>
    <row r="74" spans="7:12">
      <c r="G74" s="2"/>
      <c r="K74" s="2"/>
      <c r="L74" s="2"/>
    </row>
    <row r="75" spans="7:12">
      <c r="G75" s="2"/>
    </row>
    <row r="76" spans="7:12">
      <c r="G76" s="2"/>
    </row>
    <row r="77" spans="7:12">
      <c r="G77" s="2"/>
    </row>
    <row r="78" spans="7:12">
      <c r="G78" s="2"/>
    </row>
    <row r="79" spans="7:12">
      <c r="G79" s="2"/>
      <c r="I79" s="2"/>
    </row>
  </sheetData>
  <mergeCells count="14">
    <mergeCell ref="J4:L4"/>
    <mergeCell ref="F27:I28"/>
    <mergeCell ref="J7:L7"/>
    <mergeCell ref="J6:L6"/>
    <mergeCell ref="J5:L5"/>
    <mergeCell ref="F19:I20"/>
    <mergeCell ref="J9:L9"/>
    <mergeCell ref="A28:B28"/>
    <mergeCell ref="A27:B27"/>
    <mergeCell ref="A15:C15"/>
    <mergeCell ref="A17:B17"/>
    <mergeCell ref="A16:B16"/>
    <mergeCell ref="A19:B19"/>
    <mergeCell ref="A18:B18"/>
  </mergeCells>
  <phoneticPr fontId="27" type="noConversion"/>
  <conditionalFormatting sqref="F13:F14">
    <cfRule type="cellIs" dxfId="36" priority="63" operator="equal">
      <formula>"Voldoet niet"</formula>
    </cfRule>
    <cfRule type="cellIs" dxfId="35" priority="64" operator="equal">
      <formula>"Voldoet"</formula>
    </cfRule>
    <cfRule type="cellIs" priority="65" operator="equal">
      <formula>"Voldoet"</formula>
    </cfRule>
  </conditionalFormatting>
  <conditionalFormatting sqref="H18 H15:H16 F16:F18">
    <cfRule type="cellIs" dxfId="34" priority="58" operator="equal">
      <formula>"Voldoet niet"</formula>
    </cfRule>
    <cfRule type="cellIs" dxfId="33" priority="59" operator="equal">
      <formula>"Voldoet"</formula>
    </cfRule>
  </conditionalFormatting>
  <conditionalFormatting sqref="F23:F24">
    <cfRule type="cellIs" dxfId="32" priority="55" operator="equal">
      <formula>"Voldoet"</formula>
    </cfRule>
  </conditionalFormatting>
  <conditionalFormatting sqref="F23:F24">
    <cfRule type="cellIs" dxfId="31" priority="54" operator="equal">
      <formula>"Voldoet niet"</formula>
    </cfRule>
  </conditionalFormatting>
  <conditionalFormatting sqref="F29:F32">
    <cfRule type="cellIs" dxfId="30" priority="47" operator="equal">
      <formula>"Invloed afrondingsstralen mag worden genegeerd"</formula>
    </cfRule>
    <cfRule type="cellIs" dxfId="29" priority="48" operator="equal">
      <formula>"Invloed afrondingsstralen mag niet worden genegeerd"</formula>
    </cfRule>
  </conditionalFormatting>
  <conditionalFormatting sqref="I32 I29:I30 F29:H32">
    <cfRule type="cellIs" dxfId="28" priority="37" operator="equal">
      <formula>"Invl afrondingsstralen mag worden genegeerd"</formula>
    </cfRule>
    <cfRule type="cellIs" dxfId="27" priority="38" operator="equal">
      <formula>"Invl. Afrondingsstralen mag niet worden genegeerd"</formula>
    </cfRule>
  </conditionalFormatting>
  <conditionalFormatting sqref="J4:L4">
    <cfRule type="cellIs" dxfId="26" priority="23" operator="equal">
      <formula>"Hoogte is kleiner dan 2x de dikte"</formula>
    </cfRule>
    <cfRule type="cellIs" dxfId="25" priority="24" operator="equal">
      <formula>"Hoogte is ten minste gelijk aan 2x de dikte"</formula>
    </cfRule>
  </conditionalFormatting>
  <conditionalFormatting sqref="J5:L5">
    <cfRule type="cellIs" dxfId="24" priority="21" operator="equal">
      <formula>"Breedte is kleiner dan 2x de dikte"</formula>
    </cfRule>
    <cfRule type="cellIs" dxfId="23" priority="22" operator="equal">
      <formula>"Breedte is ten minste gelijk aan 2x de dikte"</formula>
    </cfRule>
  </conditionalFormatting>
  <conditionalFormatting sqref="J6:L6">
    <cfRule type="cellIs" dxfId="22" priority="19" operator="equal">
      <formula>"Lip is groter dan de halve profielhoogte"</formula>
    </cfRule>
    <cfRule type="cellIs" dxfId="21" priority="20" operator="equal">
      <formula>"Lip is kleiner of gelijk aan halve profielhoogte"</formula>
    </cfRule>
  </conditionalFormatting>
  <conditionalFormatting sqref="J7:L7">
    <cfRule type="cellIs" dxfId="20" priority="17" operator="equal">
      <formula>"Enkele profielmaten zijn negatief"</formula>
    </cfRule>
    <cfRule type="cellIs" dxfId="19" priority="18" operator="equal">
      <formula>"Alle effectieve profielmaten zijn positief"</formula>
    </cfRule>
  </conditionalFormatting>
  <conditionalFormatting sqref="J9:L9">
    <cfRule type="cellIs" dxfId="18" priority="15" operator="equal">
      <formula>"Profiel fysisch niet mogelijk"</formula>
    </cfRule>
    <cfRule type="cellIs" dxfId="17" priority="16" operator="equal">
      <formula>"Profiel fysisch mogelijk"</formula>
    </cfRule>
  </conditionalFormatting>
  <conditionalFormatting sqref="F19">
    <cfRule type="cellIs" dxfId="16" priority="8" stopIfTrue="1" operator="equal">
      <formula>"Lipafmetingen te klein. Bereken C-profiel als U-profiel met dezelfde b als C-profiel"</formula>
    </cfRule>
    <cfRule type="cellIs" dxfId="15" priority="9" stopIfTrue="1" operator="equal">
      <formula>"De lip mag worden meegenomen in de berekening"</formula>
    </cfRule>
    <cfRule type="cellIs" dxfId="14" priority="89" stopIfTrue="1" operator="equal">
      <formula>"De lip mag worden meegenomen in de berekening"</formula>
    </cfRule>
    <cfRule type="cellIs" dxfId="13" priority="90" stopIfTrue="1" operator="equal">
      <formula>"Lipafmetingen te klein. Bereken C-profiel als U-profiel met dezelfde b als C-profiel"</formula>
    </cfRule>
    <cfRule type="cellIs" dxfId="12" priority="91" stopIfTrue="1" operator="equal">
      <formula>"Lipafmetingen te groot. Geen verdere berekening mogelijk"</formula>
    </cfRule>
  </conditionalFormatting>
  <conditionalFormatting sqref="F27:I28">
    <cfRule type="cellIs" dxfId="11" priority="10" stopIfTrue="1" operator="equal">
      <formula>"Invl. Afrondingsstralen mag worden genegeerd"</formula>
    </cfRule>
    <cfRule type="cellIs" dxfId="10" priority="11" stopIfTrue="1" operator="equal">
      <formula>"Invl. Afrondingsstralen mag niet worden genegeerd"</formula>
    </cfRule>
    <cfRule type="cellIs" dxfId="9" priority="12" stopIfTrue="1" operator="equal">
      <formula>"Invl. Afrondingsstralen mag niet worden genegeerd"</formula>
    </cfRule>
    <cfRule type="cellIs" dxfId="8" priority="92" stopIfTrue="1" operator="equal">
      <formula>"Invl. Afrondingsstralen mag niet worden genegeerd"</formula>
    </cfRule>
    <cfRule type="cellIs" dxfId="7" priority="93" stopIfTrue="1" operator="equal">
      <formula>"Invl. Afrondingsstralen mag worden genegeerd"</formula>
    </cfRule>
  </conditionalFormatting>
  <conditionalFormatting sqref="F19:J20">
    <cfRule type="cellIs" dxfId="6" priority="1" stopIfTrue="1" operator="equal">
      <formula>"Lipafmetingen te groot. Geen verdere berekening mogelijk"</formula>
    </cfRule>
    <cfRule type="cellIs" dxfId="5" priority="2" stopIfTrue="1" operator="equal">
      <formula>"Lipafmetingen te klein. Bereken C-profiel als U-profiel met dezelfde b als C-profiel"</formula>
    </cfRule>
    <cfRule type="cellIs" dxfId="4" priority="3" stopIfTrue="1" operator="equal">
      <formula>"Lipafmetingen te klein. Bereken C-profiel als U-profiel met dezelfde b als C-profiel"</formula>
    </cfRule>
    <cfRule type="cellIs" dxfId="3" priority="4" stopIfTrue="1" operator="equal">
      <formula>"De lip mag worden meegenomen in de berekening"</formula>
    </cfRule>
    <cfRule type="cellIs" dxfId="2" priority="5" stopIfTrue="1" operator="equal">
      <formula>"De lip mag worden meegenomen in de berekening"</formula>
    </cfRule>
    <cfRule type="cellIs" dxfId="1" priority="6" stopIfTrue="1" operator="equal">
      <formula>"Lipafmetingen te klein. Bereken C-profiel als U-profiel met dezelfde b als C-profiel"</formula>
    </cfRule>
    <cfRule type="cellIs" dxfId="0" priority="7" stopIfTrue="1" operator="equal">
      <formula>"Lipafmetingen te groot. Geen verdere berekening mogelijk"</formula>
    </cfRule>
  </conditionalFormatting>
  <pageMargins left="0.35433070866141736" right="0.35433070866141736" top="0.19685039370078741" bottom="0.19685039370078741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81"/>
  <sheetViews>
    <sheetView tabSelected="1" topLeftCell="A146" zoomScaleNormal="100" workbookViewId="0">
      <selection activeCell="H159" sqref="H159"/>
    </sheetView>
  </sheetViews>
  <sheetFormatPr defaultRowHeight="15"/>
  <cols>
    <col min="2" max="2" width="12.42578125" customWidth="1"/>
    <col min="3" max="3" width="8.7109375" customWidth="1"/>
    <col min="5" max="5" width="12" customWidth="1"/>
    <col min="6" max="6" width="13.28515625" customWidth="1"/>
    <col min="7" max="7" width="9.5703125" customWidth="1"/>
    <col min="8" max="8" width="12.140625" customWidth="1"/>
    <col min="9" max="9" width="12" customWidth="1"/>
    <col min="10" max="11" width="10.7109375" customWidth="1"/>
    <col min="12" max="12" width="23.42578125" customWidth="1"/>
    <col min="13" max="13" width="10.28515625" customWidth="1"/>
    <col min="14" max="14" width="10.7109375" customWidth="1"/>
    <col min="16" max="16" width="16.7109375" bestFit="1" customWidth="1"/>
    <col min="17" max="17" width="11.42578125" customWidth="1"/>
    <col min="18" max="18" width="12" bestFit="1" customWidth="1"/>
    <col min="19" max="19" width="8.7109375" bestFit="1" customWidth="1"/>
    <col min="20" max="20" width="12.140625" bestFit="1" customWidth="1"/>
    <col min="21" max="21" width="9.85546875" bestFit="1" customWidth="1"/>
    <col min="22" max="22" width="10.5703125" customWidth="1"/>
    <col min="23" max="23" width="9.85546875" bestFit="1" customWidth="1"/>
  </cols>
  <sheetData>
    <row r="1" spans="1:17" ht="27.75" customHeight="1">
      <c r="A1" s="173" t="s">
        <v>256</v>
      </c>
      <c r="B1" s="5"/>
      <c r="C1" s="110"/>
      <c r="D1" s="5"/>
      <c r="E1" s="5"/>
      <c r="F1" s="5"/>
      <c r="G1" s="5"/>
      <c r="H1" s="5"/>
      <c r="I1" s="5"/>
      <c r="J1" s="5"/>
      <c r="K1" s="5"/>
      <c r="L1" s="5"/>
      <c r="M1" s="5"/>
      <c r="N1" s="125"/>
      <c r="O1" s="5"/>
      <c r="P1" s="5"/>
      <c r="Q1" s="5"/>
    </row>
    <row r="2" spans="1:17" ht="14.2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25"/>
      <c r="O2" s="5"/>
      <c r="P2" s="5"/>
      <c r="Q2" s="5"/>
    </row>
    <row r="3" spans="1:17" ht="18.75" hidden="1" thickBot="1">
      <c r="A3" s="43" t="s">
        <v>12</v>
      </c>
      <c r="B3" s="44"/>
      <c r="C3" s="42"/>
      <c r="D3" s="42"/>
      <c r="F3" s="45" t="s">
        <v>7</v>
      </c>
      <c r="G3" s="41"/>
      <c r="H3" s="42"/>
      <c r="I3" s="5"/>
      <c r="J3" s="5"/>
      <c r="K3" s="5"/>
      <c r="L3" s="5"/>
      <c r="M3" s="5"/>
      <c r="N3" s="125"/>
      <c r="O3" s="5"/>
      <c r="P3" s="5"/>
      <c r="Q3" s="5"/>
    </row>
    <row r="4" spans="1:17" hidden="1">
      <c r="A4" s="181" t="s">
        <v>13</v>
      </c>
      <c r="B4" s="58">
        <f>'Input,output'!H4</f>
        <v>210000</v>
      </c>
      <c r="C4" s="11" t="s">
        <v>15</v>
      </c>
      <c r="D4" s="24"/>
      <c r="F4" s="172" t="s">
        <v>4</v>
      </c>
      <c r="G4" s="60">
        <f>'Input,output'!B4</f>
        <v>250</v>
      </c>
      <c r="H4" s="14" t="s">
        <v>3</v>
      </c>
      <c r="I4" s="112">
        <f>IF(G4&gt;=(2*G7),1,0)</f>
        <v>1</v>
      </c>
      <c r="J4" s="277" t="str">
        <f>IF(G4&gt;=(2*G7),"Hoogte is ten minste gelijk aan 2x de dikte","Hoogte is kleiner dan 2x de dikte")</f>
        <v>Hoogte is ten minste gelijk aan 2x de dikte</v>
      </c>
      <c r="K4" s="277"/>
      <c r="L4" s="277"/>
      <c r="M4" s="5"/>
      <c r="N4" s="125"/>
      <c r="O4" s="5"/>
      <c r="P4" s="5"/>
      <c r="Q4" s="5"/>
    </row>
    <row r="5" spans="1:17" hidden="1">
      <c r="A5" s="172" t="s">
        <v>14</v>
      </c>
      <c r="B5" s="59">
        <f>B4/(2*(1+B6))</f>
        <v>80769.230769230766</v>
      </c>
      <c r="C5" s="6" t="s">
        <v>15</v>
      </c>
      <c r="D5" s="14"/>
      <c r="F5" s="172" t="s">
        <v>5</v>
      </c>
      <c r="G5" s="60">
        <f>'Input,output'!B5</f>
        <v>75</v>
      </c>
      <c r="H5" s="14" t="s">
        <v>3</v>
      </c>
      <c r="I5" s="112">
        <f>IF(G5&gt;=(2*G7),1,0)</f>
        <v>1</v>
      </c>
      <c r="J5" s="271" t="str">
        <f>IF(G5&gt;=(2*G7),"Breedte is ten minste gelijk aan 2x de dikte","Breedte is kleiner dan 2x de dikte")</f>
        <v>Breedte is ten minste gelijk aan 2x de dikte</v>
      </c>
      <c r="K5" s="271"/>
      <c r="L5" s="271"/>
      <c r="M5" s="5"/>
      <c r="N5" s="125"/>
      <c r="O5" s="5"/>
      <c r="P5" s="5"/>
      <c r="Q5" s="5"/>
    </row>
    <row r="6" spans="1:17" hidden="1">
      <c r="A6" s="182" t="s">
        <v>70</v>
      </c>
      <c r="B6" s="60">
        <f>'Input,output'!H5</f>
        <v>0.3</v>
      </c>
      <c r="C6" s="6"/>
      <c r="D6" s="14"/>
      <c r="F6" s="172" t="s">
        <v>6</v>
      </c>
      <c r="G6" s="60">
        <f>'Input,output'!B6</f>
        <v>25</v>
      </c>
      <c r="H6" s="14" t="s">
        <v>3</v>
      </c>
      <c r="I6" s="112">
        <f>IF(G6&lt;=(0.5*G4),1,0)</f>
        <v>1</v>
      </c>
      <c r="J6" s="271" t="str">
        <f>IF(G6&lt;=(0.5*G4),"Lip is kleiner of gelijk aan halve profielhoogte","Lip is groter dan de halve profielhoogte")</f>
        <v>Lip is kleiner of gelijk aan halve profielhoogte</v>
      </c>
      <c r="K6" s="271"/>
      <c r="L6" s="271"/>
      <c r="M6" s="5"/>
      <c r="N6" s="125"/>
      <c r="O6" s="5"/>
      <c r="P6" s="5"/>
      <c r="Q6" s="5"/>
    </row>
    <row r="7" spans="1:17" ht="18.75" hidden="1">
      <c r="A7" s="183" t="s">
        <v>107</v>
      </c>
      <c r="B7" s="60">
        <f>'Input,output'!H6</f>
        <v>350</v>
      </c>
      <c r="C7" s="6" t="s">
        <v>15</v>
      </c>
      <c r="D7" s="14"/>
      <c r="F7" s="172" t="s">
        <v>2</v>
      </c>
      <c r="G7" s="60">
        <f>'Input,output'!B7</f>
        <v>2</v>
      </c>
      <c r="H7" s="14" t="s">
        <v>3</v>
      </c>
      <c r="I7" s="112">
        <f>IF(MIN('Input,output'!B40:B42,'Input,output'!F40:F43,'Input,output'!I40:I42)&gt;0,1,0)</f>
        <v>1</v>
      </c>
      <c r="J7" s="271" t="str">
        <f>IF(MIN('Input,output'!B40:B42,'Input,output'!F40:F43,'Input,output'!I40:I42)&gt;0,"Alle effectieve profielmaten zijn positief","Enkele effectieve profielmaten zijn negatief")</f>
        <v>Alle effectieve profielmaten zijn positief</v>
      </c>
      <c r="K7" s="271"/>
      <c r="L7" s="271"/>
      <c r="M7" s="5"/>
      <c r="N7" s="125"/>
      <c r="O7" s="5"/>
      <c r="P7" s="5"/>
      <c r="Q7" s="5"/>
    </row>
    <row r="8" spans="1:17" ht="19.5" hidden="1" thickBot="1">
      <c r="A8" s="183" t="s">
        <v>108</v>
      </c>
      <c r="B8" s="60">
        <f>'Input,output'!H7</f>
        <v>1</v>
      </c>
      <c r="C8" s="6"/>
      <c r="D8" s="14"/>
      <c r="F8" s="185" t="s">
        <v>1</v>
      </c>
      <c r="G8" s="61">
        <f>'Input,output'!B8</f>
        <v>3</v>
      </c>
      <c r="H8" s="23" t="s">
        <v>3</v>
      </c>
      <c r="I8" s="5"/>
      <c r="J8" s="5"/>
      <c r="K8" s="5"/>
      <c r="L8" s="5"/>
      <c r="M8" s="5"/>
      <c r="N8" s="125"/>
      <c r="O8" s="5"/>
      <c r="P8" s="5"/>
      <c r="Q8" s="5"/>
    </row>
    <row r="9" spans="1:17" ht="19.5" hidden="1" thickBot="1">
      <c r="A9" s="184" t="s">
        <v>109</v>
      </c>
      <c r="B9" s="61">
        <f>'Input,output'!H8</f>
        <v>1</v>
      </c>
      <c r="C9" s="18"/>
      <c r="D9" s="23"/>
      <c r="F9" s="6"/>
      <c r="G9" s="6"/>
      <c r="H9" s="6"/>
      <c r="I9" s="5"/>
      <c r="J9" s="277" t="str">
        <f>IF(SUM(I4:I7)=4,"Profiel fysisch mogelijk","Profiel fysisch niet mogelijk")</f>
        <v>Profiel fysisch mogelijk</v>
      </c>
      <c r="K9" s="277"/>
      <c r="L9" s="277"/>
      <c r="M9" s="5"/>
      <c r="N9" s="126"/>
      <c r="O9" s="5"/>
      <c r="P9" s="5"/>
      <c r="Q9" s="5"/>
    </row>
    <row r="10" spans="1:17" hidden="1">
      <c r="A10" s="5"/>
      <c r="B10" s="28"/>
      <c r="C10" s="28"/>
      <c r="D10" s="28"/>
      <c r="I10" s="5"/>
      <c r="J10" s="5"/>
      <c r="K10" s="5"/>
      <c r="L10" s="6"/>
      <c r="M10" s="6"/>
      <c r="N10" s="126"/>
      <c r="O10" s="6"/>
      <c r="P10" s="5"/>
      <c r="Q10" s="5"/>
    </row>
    <row r="11" spans="1:17" hidden="1">
      <c r="A11" s="6"/>
      <c r="B11" s="5"/>
      <c r="C11" s="5"/>
      <c r="D11" s="7"/>
      <c r="E11" s="8"/>
      <c r="F11" s="5"/>
      <c r="G11" s="5"/>
      <c r="H11" s="5"/>
      <c r="I11" s="5"/>
      <c r="J11" s="5"/>
      <c r="K11" s="5"/>
      <c r="L11" s="5"/>
      <c r="M11" s="6"/>
      <c r="N11" s="126"/>
      <c r="O11" s="6"/>
      <c r="P11" s="5"/>
      <c r="Q11" s="5"/>
    </row>
    <row r="12" spans="1:17" hidden="1">
      <c r="A12" s="33" t="s">
        <v>27</v>
      </c>
      <c r="B12" s="28"/>
      <c r="C12" s="28"/>
      <c r="D12" s="28"/>
      <c r="E12" s="5"/>
      <c r="F12" s="5"/>
      <c r="G12" s="5"/>
      <c r="H12" s="5"/>
      <c r="I12" s="5"/>
      <c r="J12" s="5"/>
      <c r="L12" s="5"/>
      <c r="M12" s="6"/>
      <c r="N12" s="126"/>
      <c r="O12" s="6"/>
      <c r="P12" s="5"/>
      <c r="Q12" s="5"/>
    </row>
    <row r="13" spans="1:17" ht="16.5" hidden="1">
      <c r="A13" s="115" t="s">
        <v>28</v>
      </c>
      <c r="B13" s="27"/>
      <c r="C13" s="116" t="s">
        <v>66</v>
      </c>
      <c r="D13" s="57">
        <f>G7</f>
        <v>2</v>
      </c>
      <c r="E13" s="27" t="s">
        <v>59</v>
      </c>
      <c r="F13" s="34" t="str">
        <f>IF(G7&gt;=0.45,IF(G7&lt;=8,"Voldoet","Voldoet niet"),"Voldoet niet")</f>
        <v>Voldoet</v>
      </c>
      <c r="G13" s="5"/>
      <c r="H13" s="34"/>
      <c r="I13" s="27"/>
      <c r="K13" s="212" t="s">
        <v>61</v>
      </c>
      <c r="L13" s="27"/>
      <c r="M13" s="6"/>
      <c r="N13" s="127"/>
      <c r="O13" s="6"/>
      <c r="P13" s="5"/>
      <c r="Q13" s="5"/>
    </row>
    <row r="14" spans="1:17" hidden="1">
      <c r="A14" s="115"/>
      <c r="B14" s="27"/>
      <c r="C14" s="116"/>
      <c r="D14" s="57"/>
      <c r="E14" s="27"/>
      <c r="F14" s="34"/>
      <c r="G14" s="5"/>
      <c r="H14" s="34"/>
      <c r="I14" s="27"/>
      <c r="K14" s="212"/>
      <c r="L14" s="27"/>
      <c r="M14" s="6"/>
      <c r="N14" s="127"/>
      <c r="O14" s="6"/>
      <c r="P14" s="5"/>
      <c r="Q14" s="5"/>
    </row>
    <row r="15" spans="1:17" hidden="1">
      <c r="A15" s="278" t="s">
        <v>29</v>
      </c>
      <c r="B15" s="278"/>
      <c r="C15" s="278"/>
      <c r="D15" s="28"/>
      <c r="E15" s="5"/>
      <c r="F15" s="5"/>
      <c r="G15" s="5"/>
      <c r="H15" s="35"/>
      <c r="I15" s="27"/>
      <c r="J15" s="74"/>
      <c r="K15" s="213"/>
      <c r="L15" s="27"/>
      <c r="M15" s="6"/>
      <c r="N15" s="127"/>
      <c r="O15" s="6"/>
      <c r="P15" s="5"/>
      <c r="Q15" s="5"/>
    </row>
    <row r="16" spans="1:17" ht="16.5" hidden="1">
      <c r="A16" s="279" t="s">
        <v>33</v>
      </c>
      <c r="B16" s="279"/>
      <c r="C16" s="186" t="s">
        <v>32</v>
      </c>
      <c r="D16" s="57">
        <f>G4/G7</f>
        <v>125</v>
      </c>
      <c r="E16" s="27" t="s">
        <v>55</v>
      </c>
      <c r="F16" s="35" t="str">
        <f>IF(D16&lt;=500,"Voldoet","Voldoet niet")</f>
        <v>Voldoet</v>
      </c>
      <c r="G16" s="5"/>
      <c r="H16" s="35"/>
      <c r="I16" s="27"/>
      <c r="K16" s="212" t="s">
        <v>95</v>
      </c>
      <c r="L16" s="27"/>
      <c r="M16" s="6"/>
      <c r="N16" s="127"/>
      <c r="O16" s="6"/>
      <c r="P16" s="5"/>
      <c r="Q16" s="5"/>
    </row>
    <row r="17" spans="1:17" ht="16.5" hidden="1">
      <c r="A17" s="279" t="s">
        <v>34</v>
      </c>
      <c r="B17" s="279"/>
      <c r="C17" s="186" t="s">
        <v>35</v>
      </c>
      <c r="D17" s="57">
        <f>G5/G7</f>
        <v>37.5</v>
      </c>
      <c r="E17" s="27" t="s">
        <v>56</v>
      </c>
      <c r="F17" s="35" t="str">
        <f>IF(D17&lt;=60,"Voldoet","Voldoet niet")</f>
        <v>Voldoet</v>
      </c>
      <c r="G17" s="34"/>
      <c r="H17" s="34"/>
      <c r="I17" s="34"/>
      <c r="K17" s="212" t="s">
        <v>95</v>
      </c>
      <c r="L17" s="27"/>
      <c r="M17" s="6"/>
      <c r="N17" s="127"/>
      <c r="O17" s="6"/>
      <c r="P17" s="5"/>
      <c r="Q17" s="5"/>
    </row>
    <row r="18" spans="1:17" ht="16.5" hidden="1">
      <c r="A18" s="279" t="s">
        <v>98</v>
      </c>
      <c r="B18" s="279"/>
      <c r="C18" s="186" t="s">
        <v>31</v>
      </c>
      <c r="D18" s="57">
        <f>G6/G7</f>
        <v>12.5</v>
      </c>
      <c r="E18" s="27" t="s">
        <v>54</v>
      </c>
      <c r="F18" s="35" t="str">
        <f>IF(D18&lt;=50,"Voldoet","Voldoet niet")</f>
        <v>Voldoet</v>
      </c>
      <c r="G18" s="5"/>
      <c r="H18" s="35"/>
      <c r="I18" s="27"/>
      <c r="K18" s="212" t="s">
        <v>95</v>
      </c>
      <c r="L18" s="34"/>
      <c r="M18" s="6"/>
      <c r="N18" s="127"/>
      <c r="O18" s="6"/>
      <c r="P18" s="5"/>
      <c r="Q18" s="5"/>
    </row>
    <row r="19" spans="1:17" hidden="1">
      <c r="A19" s="116"/>
      <c r="B19" s="116"/>
      <c r="C19" s="116"/>
      <c r="D19" s="57"/>
      <c r="E19" s="27"/>
      <c r="F19" s="35"/>
      <c r="G19" s="5"/>
      <c r="H19" s="35"/>
      <c r="I19" s="27"/>
      <c r="K19" s="212"/>
      <c r="L19" s="34"/>
      <c r="M19" s="6"/>
      <c r="N19" s="127"/>
      <c r="O19" s="6"/>
      <c r="P19" s="5"/>
      <c r="Q19" s="5"/>
    </row>
    <row r="20" spans="1:17" hidden="1">
      <c r="A20" s="116"/>
      <c r="B20" s="116"/>
      <c r="C20" s="116" t="s">
        <v>65</v>
      </c>
      <c r="D20" s="187" t="s">
        <v>97</v>
      </c>
      <c r="E20" s="27" t="s">
        <v>60</v>
      </c>
      <c r="F20" s="35"/>
      <c r="G20" s="5"/>
      <c r="H20" s="35"/>
      <c r="I20" s="27"/>
      <c r="K20" s="212"/>
      <c r="L20" s="34"/>
      <c r="M20" s="6"/>
      <c r="N20" s="127"/>
      <c r="O20" s="6"/>
      <c r="P20" s="5"/>
      <c r="Q20" s="5"/>
    </row>
    <row r="21" spans="1:17" hidden="1">
      <c r="A21" s="5"/>
      <c r="B21" s="5"/>
      <c r="C21" s="116" t="s">
        <v>65</v>
      </c>
      <c r="D21" s="57">
        <f>G6/G5</f>
        <v>0.33333333333333331</v>
      </c>
      <c r="E21" s="27" t="s">
        <v>60</v>
      </c>
      <c r="F21" s="272" t="str">
        <f>IF(D21&gt;=0.2,IF(D21&lt;=0.6,"Lip moet meegenomen worden in berekening","Lip moet niet meegenomen worden in berekening"),"Lip moet niet meegenomen worden in berekening")</f>
        <v>Lip moet meegenomen worden in berekening</v>
      </c>
      <c r="G21" s="272"/>
      <c r="H21" s="272"/>
      <c r="I21" s="272"/>
      <c r="K21" s="212" t="s">
        <v>96</v>
      </c>
      <c r="L21" s="27"/>
      <c r="M21" s="6"/>
      <c r="N21" s="127"/>
      <c r="O21" s="6"/>
      <c r="P21" s="5"/>
      <c r="Q21" s="5"/>
    </row>
    <row r="22" spans="1:17" hidden="1">
      <c r="A22" s="6"/>
      <c r="K22" s="217"/>
      <c r="L22" s="5"/>
      <c r="M22" s="6"/>
      <c r="N22" s="127"/>
      <c r="O22" s="6"/>
      <c r="P22" s="5"/>
      <c r="Q22" s="5"/>
    </row>
    <row r="23" spans="1:17" ht="18.75" hidden="1">
      <c r="A23" s="6"/>
      <c r="B23" s="5"/>
      <c r="C23" s="51" t="s">
        <v>1</v>
      </c>
      <c r="D23" s="108" t="s">
        <v>37</v>
      </c>
      <c r="E23" s="5" t="s">
        <v>111</v>
      </c>
      <c r="F23" s="5"/>
      <c r="G23" s="5"/>
      <c r="H23" s="5"/>
      <c r="I23" s="5"/>
      <c r="J23" s="73"/>
      <c r="K23" s="212" t="s">
        <v>74</v>
      </c>
      <c r="L23" s="5"/>
      <c r="M23" s="6"/>
      <c r="N23" s="127"/>
      <c r="O23" s="6"/>
      <c r="P23" s="5"/>
      <c r="Q23" s="5"/>
    </row>
    <row r="24" spans="1:17" hidden="1">
      <c r="A24" s="6"/>
      <c r="B24" s="5"/>
      <c r="C24" s="5">
        <f>G8</f>
        <v>3</v>
      </c>
      <c r="D24" s="108" t="s">
        <v>37</v>
      </c>
      <c r="E24" s="111">
        <f>0.04*G7*B4/B7</f>
        <v>48</v>
      </c>
      <c r="F24" s="36" t="str">
        <f>IF(C24&gt;E24,"Voldoet niet","Voldoet")</f>
        <v>Voldoet</v>
      </c>
      <c r="G24" s="5"/>
      <c r="H24" s="5"/>
      <c r="I24" s="5"/>
      <c r="J24" s="73"/>
      <c r="K24" s="212"/>
      <c r="L24" s="5"/>
      <c r="M24" s="6"/>
      <c r="N24" s="127"/>
      <c r="O24" s="6"/>
      <c r="P24" s="5"/>
      <c r="Q24" s="5"/>
    </row>
    <row r="25" spans="1:17" hidden="1">
      <c r="A25" s="6"/>
      <c r="B25" s="5"/>
      <c r="C25" s="5"/>
      <c r="D25" s="108"/>
      <c r="E25" s="106"/>
      <c r="F25" s="36"/>
      <c r="G25" s="5"/>
      <c r="H25" s="5"/>
      <c r="I25" s="5"/>
      <c r="J25" s="73"/>
      <c r="K25" s="212"/>
      <c r="L25" s="5"/>
      <c r="M25" s="6"/>
      <c r="N25" s="127"/>
      <c r="O25" s="6"/>
      <c r="P25" s="5"/>
      <c r="Q25" s="5"/>
    </row>
    <row r="26" spans="1:17" hidden="1">
      <c r="A26" s="6"/>
      <c r="B26" s="5"/>
      <c r="C26" s="5"/>
      <c r="D26" s="7"/>
      <c r="E26" s="8"/>
      <c r="F26" s="5"/>
      <c r="G26" s="5"/>
      <c r="H26" s="5"/>
      <c r="I26" s="5"/>
      <c r="J26" s="73"/>
      <c r="K26" s="212"/>
      <c r="L26" s="5"/>
      <c r="M26" s="6"/>
      <c r="N26" s="127"/>
      <c r="O26" s="6"/>
      <c r="P26" s="5"/>
      <c r="Q26" s="5"/>
    </row>
    <row r="27" spans="1:17" hidden="1">
      <c r="A27" s="33" t="s">
        <v>36</v>
      </c>
      <c r="B27" s="28"/>
      <c r="C27" s="28"/>
      <c r="D27" s="28"/>
      <c r="E27" s="28"/>
      <c r="F27" s="28"/>
      <c r="G27" s="5"/>
      <c r="H27" s="5"/>
      <c r="I27" s="5"/>
      <c r="J27" s="73"/>
      <c r="K27" s="212"/>
      <c r="L27" s="5"/>
      <c r="M27" s="5"/>
      <c r="N27" s="127"/>
      <c r="O27" s="6"/>
      <c r="P27" s="5"/>
      <c r="Q27" s="5"/>
    </row>
    <row r="28" spans="1:17" ht="15.75" hidden="1">
      <c r="A28" s="277" t="s">
        <v>128</v>
      </c>
      <c r="B28" s="277"/>
      <c r="C28" s="28">
        <f>G8</f>
        <v>3</v>
      </c>
      <c r="D28" s="82" t="s">
        <v>37</v>
      </c>
      <c r="E28" s="37">
        <f>5*G7</f>
        <v>10</v>
      </c>
      <c r="F28" s="280" t="str">
        <f>IF(C28&lt;=E28,IF(C29&lt;=E29,"Invl. afrondingsstralen mag worden genegeerd","Invl. afrondingsstralen mag niet worden genegeerd"),"Invl. afrondingsstralen mag niet worden genegeerd")</f>
        <v>Invl. afrondingsstralen mag niet worden genegeerd</v>
      </c>
      <c r="G28" s="280"/>
      <c r="H28" s="280"/>
      <c r="I28" s="280"/>
      <c r="K28" s="214" t="s">
        <v>62</v>
      </c>
      <c r="L28" s="5"/>
      <c r="N28" s="126"/>
      <c r="Q28" s="5"/>
    </row>
    <row r="29" spans="1:17" ht="18.75" hidden="1">
      <c r="A29" s="277" t="s">
        <v>129</v>
      </c>
      <c r="B29" s="277"/>
      <c r="C29" s="28">
        <f>G8</f>
        <v>3</v>
      </c>
      <c r="D29" s="82" t="s">
        <v>37</v>
      </c>
      <c r="E29" s="137">
        <f>0.1*MIN(B49,D49,F49)</f>
        <v>2.2828427124746193</v>
      </c>
      <c r="F29" s="280"/>
      <c r="G29" s="280"/>
      <c r="H29" s="280"/>
      <c r="I29" s="280"/>
      <c r="K29" s="214" t="s">
        <v>62</v>
      </c>
      <c r="L29" s="5"/>
      <c r="M29" s="5"/>
      <c r="N29" s="6"/>
      <c r="O29" s="47"/>
      <c r="P29" s="5"/>
      <c r="Q29" s="5"/>
    </row>
    <row r="30" spans="1:17" ht="15.75" hidden="1">
      <c r="A30" s="109"/>
      <c r="B30" s="109"/>
      <c r="C30" s="28"/>
      <c r="D30" s="82"/>
      <c r="E30" s="37"/>
      <c r="F30" s="107"/>
      <c r="G30" s="107"/>
      <c r="H30" s="107"/>
      <c r="I30" s="107"/>
      <c r="K30" s="79"/>
      <c r="L30" s="5"/>
      <c r="M30" s="5"/>
      <c r="N30" s="6"/>
      <c r="O30" s="47"/>
      <c r="P30" s="5"/>
      <c r="Q30" s="5"/>
    </row>
    <row r="31" spans="1:17" ht="16.5" hidden="1">
      <c r="A31" s="109"/>
      <c r="B31" s="109"/>
      <c r="C31" s="28"/>
      <c r="D31" s="82"/>
      <c r="E31" s="37"/>
      <c r="F31" s="107"/>
      <c r="G31" s="107"/>
      <c r="H31" s="107"/>
      <c r="I31" s="107"/>
      <c r="K31" s="79"/>
      <c r="L31" s="5"/>
      <c r="M31" s="5"/>
      <c r="N31" s="135"/>
      <c r="O31" s="47"/>
      <c r="P31" s="5"/>
      <c r="Q31" s="5"/>
    </row>
    <row r="32" spans="1:17" ht="15.75" hidden="1">
      <c r="A32" s="109"/>
      <c r="B32" s="109"/>
      <c r="C32" s="28"/>
      <c r="D32" s="82"/>
      <c r="E32" s="37"/>
      <c r="F32" s="107"/>
      <c r="G32" s="107"/>
      <c r="H32" s="107"/>
      <c r="I32" s="107"/>
      <c r="K32" s="79"/>
      <c r="L32" s="5"/>
      <c r="M32" s="5"/>
      <c r="N32" s="6"/>
      <c r="O32" s="47"/>
      <c r="P32" s="5"/>
      <c r="Q32" s="5"/>
    </row>
    <row r="33" spans="1:17" ht="15.75" hidden="1">
      <c r="A33" s="109"/>
      <c r="B33" s="109"/>
      <c r="C33" s="28"/>
      <c r="D33" s="82"/>
      <c r="E33" s="37"/>
      <c r="F33" s="107"/>
      <c r="G33" s="107"/>
      <c r="H33" s="107"/>
      <c r="I33" s="107"/>
      <c r="K33" s="79"/>
      <c r="L33" s="5"/>
      <c r="M33" s="5"/>
      <c r="N33" s="6"/>
      <c r="O33" s="47"/>
      <c r="P33" s="5"/>
      <c r="Q33" s="5"/>
    </row>
    <row r="34" spans="1:17" ht="15.75" hidden="1">
      <c r="A34" s="109"/>
      <c r="B34" s="109"/>
      <c r="C34" s="28"/>
      <c r="D34" s="82"/>
      <c r="E34" s="37"/>
      <c r="F34" s="107"/>
      <c r="G34" s="107"/>
      <c r="H34" s="107"/>
      <c r="K34" s="79"/>
      <c r="L34" s="5"/>
      <c r="M34" s="5"/>
      <c r="N34" s="6"/>
      <c r="O34" s="47"/>
      <c r="P34" s="5"/>
      <c r="Q34" s="5"/>
    </row>
    <row r="35" spans="1:17" ht="16.5" hidden="1" thickBot="1">
      <c r="A35" s="109"/>
      <c r="B35" s="109"/>
      <c r="C35" s="28"/>
      <c r="D35" s="82"/>
      <c r="F35" s="107"/>
      <c r="G35" s="107"/>
      <c r="H35" s="107"/>
      <c r="I35" s="107"/>
      <c r="K35" s="79"/>
      <c r="L35" s="5"/>
      <c r="M35" s="5"/>
      <c r="N35" s="6"/>
      <c r="O35" s="136"/>
      <c r="P35" s="5"/>
      <c r="Q35" s="5"/>
    </row>
    <row r="36" spans="1:17" ht="15.75" hidden="1" thickBot="1">
      <c r="A36" s="40" t="s">
        <v>0</v>
      </c>
      <c r="B36" s="41"/>
      <c r="C36" s="42"/>
      <c r="D36" s="42"/>
      <c r="F36" s="40" t="s">
        <v>82</v>
      </c>
      <c r="G36" s="41"/>
      <c r="H36" s="41"/>
      <c r="I36" s="117"/>
      <c r="L36" s="7"/>
      <c r="M36" s="5"/>
      <c r="N36" s="126"/>
      <c r="P36" s="5"/>
      <c r="Q36" s="5"/>
    </row>
    <row r="37" spans="1:17" ht="18.75" hidden="1">
      <c r="A37" s="189" t="s">
        <v>130</v>
      </c>
      <c r="B37" s="63">
        <f>G8+(0.5*G7)</f>
        <v>4</v>
      </c>
      <c r="C37" s="11" t="s">
        <v>3</v>
      </c>
      <c r="D37" s="24"/>
      <c r="F37" s="183" t="s">
        <v>130</v>
      </c>
      <c r="G37" s="64">
        <f>B37</f>
        <v>4</v>
      </c>
      <c r="H37" s="6" t="s">
        <v>3</v>
      </c>
      <c r="I37" s="54"/>
      <c r="K37" s="188" t="s">
        <v>190</v>
      </c>
      <c r="M37" s="5"/>
      <c r="N37" s="5"/>
    </row>
    <row r="38" spans="1:17" ht="18.75" hidden="1">
      <c r="A38" s="183" t="s">
        <v>21</v>
      </c>
      <c r="B38" s="64">
        <f>B37*(TAN(45*PI()/180)-SIN(45*PI()/180))</f>
        <v>1.1715728752538097</v>
      </c>
      <c r="C38" s="6" t="s">
        <v>3</v>
      </c>
      <c r="D38" s="14"/>
      <c r="F38" s="183" t="s">
        <v>21</v>
      </c>
      <c r="G38" s="64">
        <f>G37*(TAN(45*PI()/180)-SIN(45*PI()/180))</f>
        <v>1.1715728752538097</v>
      </c>
      <c r="H38" s="6" t="s">
        <v>3</v>
      </c>
      <c r="I38" s="54"/>
      <c r="K38" s="188" t="s">
        <v>191</v>
      </c>
      <c r="M38" s="5"/>
      <c r="N38" s="5"/>
    </row>
    <row r="39" spans="1:17" ht="23.25" hidden="1">
      <c r="A39" s="190" t="s">
        <v>224</v>
      </c>
      <c r="B39" s="64">
        <f>0.5*PI()*B37</f>
        <v>6.2831853071795862</v>
      </c>
      <c r="C39" s="6" t="s">
        <v>3</v>
      </c>
      <c r="D39" s="14"/>
      <c r="F39" s="190" t="s">
        <v>131</v>
      </c>
      <c r="G39" s="64">
        <f>0.5*PI()*G37</f>
        <v>6.2831853071795862</v>
      </c>
      <c r="H39" s="6" t="s">
        <v>3</v>
      </c>
      <c r="I39" s="54"/>
      <c r="K39" s="188" t="s">
        <v>194</v>
      </c>
      <c r="M39" s="5"/>
      <c r="N39" s="5"/>
    </row>
    <row r="40" spans="1:17" ht="18.75" hidden="1">
      <c r="A40" s="183" t="s">
        <v>132</v>
      </c>
      <c r="B40" s="64">
        <f>0.637*B37</f>
        <v>2.548</v>
      </c>
      <c r="C40" s="6" t="s">
        <v>3</v>
      </c>
      <c r="D40" s="14"/>
      <c r="F40" s="183" t="s">
        <v>132</v>
      </c>
      <c r="G40" s="64">
        <f>0.637*G37</f>
        <v>2.548</v>
      </c>
      <c r="H40" s="6" t="s">
        <v>3</v>
      </c>
      <c r="I40" s="54"/>
      <c r="K40" s="188" t="s">
        <v>192</v>
      </c>
      <c r="M40" s="5"/>
      <c r="N40" s="5"/>
    </row>
    <row r="41" spans="1:17" ht="18.75" hidden="1">
      <c r="A41" s="183" t="s">
        <v>133</v>
      </c>
      <c r="B41" s="64">
        <f>0.149*(POWER(B37,3)*G7)</f>
        <v>19.071999999999999</v>
      </c>
      <c r="C41" s="6" t="s">
        <v>18</v>
      </c>
      <c r="D41" s="14"/>
      <c r="E41" s="28"/>
      <c r="F41" s="183" t="s">
        <v>133</v>
      </c>
      <c r="G41" s="64">
        <f>0.149*(POWER(G37,3)*H127)</f>
        <v>15.704113773550572</v>
      </c>
      <c r="H41" s="6" t="s">
        <v>18</v>
      </c>
      <c r="I41" s="14"/>
      <c r="K41" s="188" t="s">
        <v>193</v>
      </c>
      <c r="M41" s="5"/>
      <c r="N41" s="5"/>
    </row>
    <row r="42" spans="1:17" ht="20.25" hidden="1" thickBot="1">
      <c r="A42" s="216" t="s">
        <v>223</v>
      </c>
      <c r="B42" s="65">
        <f>B39*G7</f>
        <v>12.566370614359172</v>
      </c>
      <c r="C42" s="18" t="s">
        <v>8</v>
      </c>
      <c r="D42" s="23"/>
      <c r="E42" s="6"/>
      <c r="F42" s="216" t="s">
        <v>223</v>
      </c>
      <c r="G42" s="65">
        <f>G39*H127</f>
        <v>10.347300432492609</v>
      </c>
      <c r="H42" s="18" t="s">
        <v>8</v>
      </c>
      <c r="I42" s="23"/>
      <c r="K42" s="188" t="s">
        <v>195</v>
      </c>
      <c r="M42" s="5"/>
      <c r="N42" s="5"/>
    </row>
    <row r="43" spans="1:17" hidden="1">
      <c r="A43" s="123" t="str">
        <f>IF(B37=0,"Let op! Er wordt gerekend met rechte hoeken!"," ")</f>
        <v xml:space="preserve"> </v>
      </c>
      <c r="B43" s="47"/>
      <c r="C43" s="6"/>
      <c r="D43" s="28"/>
      <c r="E43" s="28"/>
      <c r="F43" s="28"/>
      <c r="G43" s="28"/>
      <c r="J43" s="2"/>
      <c r="K43" s="28"/>
      <c r="L43" s="28"/>
      <c r="N43" s="188"/>
      <c r="P43" s="5"/>
      <c r="Q43" s="5"/>
    </row>
    <row r="44" spans="1:17" ht="15.75" hidden="1" thickBot="1">
      <c r="A44" s="7"/>
      <c r="B44" s="47"/>
      <c r="C44" s="6"/>
      <c r="D44" s="28"/>
      <c r="E44" s="28"/>
      <c r="F44" s="28"/>
      <c r="G44" s="28"/>
      <c r="J44" s="2"/>
      <c r="K44" s="28"/>
      <c r="L44" s="28"/>
      <c r="M44" s="28"/>
      <c r="N44" s="170"/>
      <c r="O44" s="6"/>
      <c r="P44" s="5"/>
      <c r="Q44" s="5"/>
    </row>
    <row r="45" spans="1:17" ht="15.75" hidden="1" thickBot="1">
      <c r="A45" s="40" t="s">
        <v>26</v>
      </c>
      <c r="B45" s="41"/>
      <c r="C45" s="41"/>
      <c r="D45" s="41"/>
      <c r="E45" s="41"/>
      <c r="F45" s="42"/>
      <c r="I45" s="5"/>
      <c r="J45" s="5"/>
      <c r="K45" s="5"/>
      <c r="L45" s="5"/>
      <c r="M45" s="6"/>
      <c r="N45" s="170"/>
      <c r="O45" s="6"/>
      <c r="P45" s="5"/>
      <c r="Q45" s="5"/>
    </row>
    <row r="46" spans="1:17" ht="18.75" hidden="1">
      <c r="A46" s="172" t="s">
        <v>4</v>
      </c>
      <c r="B46" s="63">
        <f>G4</f>
        <v>250</v>
      </c>
      <c r="C46" s="191" t="s">
        <v>5</v>
      </c>
      <c r="D46" s="63">
        <f>G5</f>
        <v>75</v>
      </c>
      <c r="E46" s="191" t="s">
        <v>6</v>
      </c>
      <c r="F46" s="66">
        <f>G6</f>
        <v>25</v>
      </c>
      <c r="H46" s="188" t="s">
        <v>197</v>
      </c>
      <c r="I46" s="5"/>
      <c r="J46" s="124" t="s">
        <v>89</v>
      </c>
      <c r="K46" s="5"/>
      <c r="L46" s="124" t="s">
        <v>92</v>
      </c>
    </row>
    <row r="47" spans="1:17" ht="18.75" hidden="1">
      <c r="A47" s="172" t="s">
        <v>214</v>
      </c>
      <c r="B47" s="64">
        <f>B46-G7</f>
        <v>248</v>
      </c>
      <c r="C47" s="200" t="s">
        <v>154</v>
      </c>
      <c r="D47" s="64">
        <f>D46-G7</f>
        <v>73</v>
      </c>
      <c r="E47" s="200" t="s">
        <v>151</v>
      </c>
      <c r="F47" s="67">
        <f>F46-(0.5*G7)</f>
        <v>24</v>
      </c>
      <c r="H47" s="188" t="s">
        <v>198</v>
      </c>
      <c r="I47" s="5"/>
      <c r="J47" s="124" t="s">
        <v>90</v>
      </c>
      <c r="K47" s="5"/>
      <c r="L47" s="124" t="s">
        <v>93</v>
      </c>
    </row>
    <row r="48" spans="1:17" ht="18.75" hidden="1">
      <c r="A48" s="172" t="s">
        <v>158</v>
      </c>
      <c r="B48" s="70">
        <f>B47-(2*B37)</f>
        <v>240</v>
      </c>
      <c r="C48" s="200" t="s">
        <v>155</v>
      </c>
      <c r="D48" s="70">
        <f>D47-(2*B37)</f>
        <v>65</v>
      </c>
      <c r="E48" s="200" t="s">
        <v>152</v>
      </c>
      <c r="F48" s="102">
        <f>F47-B37</f>
        <v>20</v>
      </c>
      <c r="G48" s="131"/>
      <c r="H48" s="188" t="s">
        <v>199</v>
      </c>
      <c r="I48" s="5"/>
      <c r="J48" s="124" t="s">
        <v>91</v>
      </c>
      <c r="K48" s="5"/>
      <c r="L48" s="124" t="s">
        <v>94</v>
      </c>
    </row>
    <row r="49" spans="1:17" ht="19.5" hidden="1" thickBot="1">
      <c r="A49" s="185" t="s">
        <v>159</v>
      </c>
      <c r="B49" s="65">
        <f>B47-(2*B38)</f>
        <v>245.65685424949237</v>
      </c>
      <c r="C49" s="201" t="s">
        <v>156</v>
      </c>
      <c r="D49" s="65">
        <f>D47-(2*B38)</f>
        <v>70.656854249492383</v>
      </c>
      <c r="E49" s="201" t="s">
        <v>153</v>
      </c>
      <c r="F49" s="68">
        <f>F47-B38</f>
        <v>22.828427124746192</v>
      </c>
      <c r="H49" s="188"/>
      <c r="I49" s="5"/>
      <c r="J49" s="124"/>
      <c r="K49" s="5"/>
    </row>
    <row r="50" spans="1:17" ht="18.75" hidden="1">
      <c r="I50" s="5"/>
      <c r="J50" s="188" t="s">
        <v>200</v>
      </c>
      <c r="K50" s="5"/>
      <c r="L50" s="5"/>
      <c r="M50" s="5"/>
    </row>
    <row r="51" spans="1:17" ht="19.5" hidden="1" thickBot="1">
      <c r="I51" s="5"/>
      <c r="J51" s="188" t="s">
        <v>201</v>
      </c>
      <c r="K51" s="5"/>
      <c r="L51" s="5"/>
      <c r="M51" s="5"/>
    </row>
    <row r="52" spans="1:17" ht="20.25" hidden="1" thickBot="1">
      <c r="A52" s="43" t="s">
        <v>134</v>
      </c>
      <c r="B52" s="41"/>
      <c r="C52" s="41"/>
      <c r="D52" s="41"/>
      <c r="E52" s="46"/>
      <c r="F52" s="41"/>
      <c r="G52" s="41"/>
      <c r="H52" s="42"/>
      <c r="I52" s="5"/>
      <c r="J52" s="188" t="s">
        <v>202</v>
      </c>
      <c r="K52" s="5"/>
      <c r="L52" s="5"/>
      <c r="M52" s="5"/>
    </row>
    <row r="53" spans="1:17" ht="18.75" hidden="1">
      <c r="A53" s="85" t="s">
        <v>24</v>
      </c>
      <c r="B53" s="86"/>
      <c r="C53" s="86"/>
      <c r="D53" s="86" t="s">
        <v>25</v>
      </c>
      <c r="E53" s="39"/>
      <c r="F53" s="39"/>
      <c r="G53" s="38"/>
      <c r="H53" s="76"/>
      <c r="I53" s="6"/>
      <c r="J53" s="188" t="s">
        <v>203</v>
      </c>
      <c r="K53" s="5"/>
      <c r="L53" s="5"/>
      <c r="M53" s="5"/>
    </row>
    <row r="54" spans="1:17" ht="18.75" hidden="1">
      <c r="A54" s="193" t="s">
        <v>248</v>
      </c>
      <c r="B54" s="132">
        <f>(2*G5*G7)+(G7*(G4-(2*G7)))+(2*G7*(G6-G7))</f>
        <v>884</v>
      </c>
      <c r="C54" s="118" t="s">
        <v>8</v>
      </c>
      <c r="D54" s="198" t="s">
        <v>144</v>
      </c>
      <c r="E54" s="132">
        <f>(G7*B48)+(2*D48*G7)+(2*G7*F48)+(4*B42)</f>
        <v>870.26548245743675</v>
      </c>
      <c r="F54" s="119" t="s">
        <v>8</v>
      </c>
      <c r="G54" s="120"/>
      <c r="H54" s="121"/>
      <c r="I54" s="6"/>
      <c r="J54" s="188" t="s">
        <v>204</v>
      </c>
      <c r="K54" s="5"/>
      <c r="L54" s="5"/>
      <c r="M54" s="5"/>
    </row>
    <row r="55" spans="1:17" ht="18.75" hidden="1">
      <c r="A55" s="194" t="s">
        <v>19</v>
      </c>
      <c r="B55" s="133">
        <f>(((2*G5*G7*(0.5*G5))+(G7*(G4-(2*G7))*(0.5*G7))+(2*G7*(G6-G7)*(G5-(0.5*G7))))/B54)-(G7/2)</f>
        <v>19.9841628959276</v>
      </c>
      <c r="C55" s="69" t="s">
        <v>3</v>
      </c>
      <c r="D55" s="196" t="s">
        <v>145</v>
      </c>
      <c r="E55" s="133">
        <f>(((B48*G7*(0.5*G7))+(2*B42*((B37-B40)+(0.5*G7)))+(2*D48*G7*(0.5*G5))+(2*B42*(G5-((0.5*G7)+(B37-B40))))+(2*F48*G7*(G5-(0.5*G7))))/E54)-(G7/2)</f>
        <v>19.723510188209652</v>
      </c>
      <c r="F55" s="81" t="s">
        <v>3</v>
      </c>
      <c r="G55" s="2"/>
      <c r="H55" s="14"/>
      <c r="I55" s="6"/>
      <c r="J55" s="188" t="s">
        <v>205</v>
      </c>
      <c r="K55" s="5"/>
      <c r="L55" s="5"/>
      <c r="M55" s="5"/>
    </row>
    <row r="56" spans="1:17" ht="18.75" hidden="1">
      <c r="A56" s="194" t="s">
        <v>23</v>
      </c>
      <c r="B56" s="133">
        <f>B47/2</f>
        <v>124</v>
      </c>
      <c r="C56" s="69" t="s">
        <v>3</v>
      </c>
      <c r="D56" s="196" t="s">
        <v>146</v>
      </c>
      <c r="E56" s="133">
        <f>B47/2</f>
        <v>124</v>
      </c>
      <c r="F56" s="80" t="s">
        <v>3</v>
      </c>
      <c r="G56" s="2"/>
      <c r="H56" s="14"/>
      <c r="I56" s="6"/>
      <c r="J56" s="188" t="s">
        <v>206</v>
      </c>
      <c r="K56" s="5"/>
      <c r="L56" s="5"/>
      <c r="M56" s="5"/>
    </row>
    <row r="57" spans="1:17" ht="18.75" hidden="1">
      <c r="A57" s="195" t="s">
        <v>137</v>
      </c>
      <c r="B57" s="164">
        <f>(2*(D47*G7*POWER((B47/2),2)))+((1/12)*G7*POWER(B47,3))+(2*(((1/12)*G7*POWER((F47),3))+(G7*(F47)*POWER(((B47/2)-F47+(F47/2)),2))))</f>
        <v>8240789.333333333</v>
      </c>
      <c r="C57" s="69" t="s">
        <v>18</v>
      </c>
      <c r="D57" s="196" t="s">
        <v>147</v>
      </c>
      <c r="E57" s="166">
        <f>(2*((D48*G7*POWER((B47/2),2))))+((1/12)*G7*POWER(B48,3))+(4*(B41+(B42*POWER(((B48/2)+B40),2))))+(2*(((1/12)*G7*POWER(F48,3))+(G7*F48*POWER(((G4/2)-G6+(F48/2)),2))))</f>
        <v>8027390.5886789476</v>
      </c>
      <c r="F57" s="81" t="s">
        <v>18</v>
      </c>
      <c r="G57" s="2"/>
      <c r="H57" s="14"/>
      <c r="I57" s="6"/>
      <c r="J57" s="188" t="s">
        <v>207</v>
      </c>
      <c r="K57" s="5"/>
      <c r="L57" s="5"/>
      <c r="M57" s="5"/>
    </row>
    <row r="58" spans="1:17" ht="18.75" hidden="1">
      <c r="A58" s="195" t="s">
        <v>138</v>
      </c>
      <c r="B58" s="165">
        <f>(G7*B47*(B55^2))+(2/12*G7*(D47^3))+(2*G7*D47*(D47/2-E55)^2)+(2*G7*F47*(D47-E55)^2)</f>
        <v>682426.72703042172</v>
      </c>
      <c r="C58" s="69" t="s">
        <v>18</v>
      </c>
      <c r="D58" s="196" t="s">
        <v>148</v>
      </c>
      <c r="E58" s="166">
        <f>((B48*G7*POWER(E55,2)))+(2*(B41+(B42*POWER((E55-(B37-B40)),2))))+(2*(((1/12)*G7*POWER(D48,3))+(D48*G7*POWER(((D47/2)-E55),2))))+(2*(B41+(B42*POWER(((D47-(B37-B40))-E55),2))))+(2*((F48*G7*POWER((D47-E55),2))))</f>
        <v>654485.42725761607</v>
      </c>
      <c r="F58" s="81" t="s">
        <v>18</v>
      </c>
      <c r="G58" s="2"/>
      <c r="H58" s="14"/>
      <c r="I58" s="6"/>
      <c r="J58" s="188" t="s">
        <v>208</v>
      </c>
      <c r="K58" s="5"/>
      <c r="L58" s="5"/>
      <c r="M58" s="5"/>
    </row>
    <row r="59" spans="1:17" ht="18.75" hidden="1">
      <c r="A59" s="195" t="s">
        <v>139</v>
      </c>
      <c r="B59" s="133">
        <f>SQRT(B57/B54)</f>
        <v>96.551332871878827</v>
      </c>
      <c r="C59" s="69" t="s">
        <v>3</v>
      </c>
      <c r="D59" s="196" t="s">
        <v>149</v>
      </c>
      <c r="E59" s="133">
        <f>SQRT(E57/E54)</f>
        <v>96.042027196942414</v>
      </c>
      <c r="F59" s="81" t="s">
        <v>3</v>
      </c>
      <c r="G59" s="2"/>
      <c r="H59" s="14"/>
      <c r="I59" s="6"/>
      <c r="J59" s="188" t="s">
        <v>209</v>
      </c>
      <c r="K59" s="5"/>
      <c r="L59" s="5"/>
      <c r="M59" s="5"/>
    </row>
    <row r="60" spans="1:17" ht="19.5" hidden="1" thickBot="1">
      <c r="A60" s="197" t="s">
        <v>140</v>
      </c>
      <c r="B60" s="134">
        <f>SQRT(B58/B54)</f>
        <v>27.784454926357213</v>
      </c>
      <c r="C60" s="62" t="s">
        <v>3</v>
      </c>
      <c r="D60" s="199" t="s">
        <v>150</v>
      </c>
      <c r="E60" s="134">
        <f>SQRT(E58/E54)</f>
        <v>27.423577624923073</v>
      </c>
      <c r="F60" s="98" t="s">
        <v>3</v>
      </c>
      <c r="G60" s="3"/>
      <c r="H60" s="23"/>
      <c r="I60" s="6"/>
      <c r="J60" s="188" t="s">
        <v>210</v>
      </c>
      <c r="K60" s="5"/>
      <c r="L60" s="5"/>
      <c r="M60" s="5"/>
    </row>
    <row r="61" spans="1:17" ht="18.75" hidden="1">
      <c r="A61" s="123" t="str">
        <f>IF(B37=0,"Let op! Er wordt gerekend met rechte hoeken!"," ")</f>
        <v xml:space="preserve"> </v>
      </c>
      <c r="B61" s="7"/>
      <c r="C61" s="7"/>
      <c r="D61" s="171"/>
      <c r="E61" s="29"/>
      <c r="F61" s="47"/>
      <c r="G61" s="7"/>
      <c r="H61" s="6"/>
      <c r="I61" s="6"/>
      <c r="J61" s="188" t="s">
        <v>211</v>
      </c>
      <c r="K61" s="5"/>
      <c r="L61" s="5"/>
      <c r="M61" s="5"/>
    </row>
    <row r="62" spans="1:17" ht="18.75" hidden="1">
      <c r="A62" s="29"/>
      <c r="B62" s="7"/>
      <c r="C62" s="7"/>
      <c r="D62" s="7"/>
      <c r="E62" s="29"/>
      <c r="F62" s="47"/>
      <c r="G62" s="7"/>
      <c r="H62" s="6"/>
      <c r="I62" s="6"/>
      <c r="J62" s="188" t="s">
        <v>212</v>
      </c>
      <c r="K62" s="5"/>
      <c r="L62" s="5"/>
      <c r="M62" s="5"/>
    </row>
    <row r="63" spans="1:17" ht="18.75" hidden="1">
      <c r="A63" s="29"/>
      <c r="B63" s="7"/>
      <c r="C63" s="7"/>
      <c r="D63" s="7"/>
      <c r="E63" s="29"/>
      <c r="F63" s="47"/>
      <c r="G63" s="7"/>
      <c r="H63" s="6"/>
      <c r="I63" s="6"/>
      <c r="J63" s="188" t="s">
        <v>213</v>
      </c>
      <c r="K63" s="5"/>
      <c r="L63" s="5"/>
      <c r="M63" s="5"/>
    </row>
    <row r="64" spans="1:17" ht="15.75" hidden="1">
      <c r="A64" s="29"/>
      <c r="B64" s="7"/>
      <c r="C64" s="7"/>
      <c r="D64" s="7"/>
      <c r="E64" s="29"/>
      <c r="F64" s="47"/>
      <c r="G64" s="7"/>
      <c r="H64" s="6"/>
      <c r="I64" s="28"/>
      <c r="J64" s="30"/>
      <c r="K64" s="6"/>
      <c r="L64" s="6"/>
      <c r="M64" s="6"/>
      <c r="N64" s="215"/>
      <c r="O64" s="5"/>
      <c r="P64" s="5"/>
      <c r="Q64" s="5"/>
    </row>
    <row r="65" spans="1:17" ht="15.75" hidden="1">
      <c r="A65" s="29"/>
      <c r="B65" s="7"/>
      <c r="C65" s="7"/>
      <c r="D65" s="7"/>
      <c r="E65" s="29"/>
      <c r="F65" s="47"/>
      <c r="G65" s="7"/>
      <c r="H65" s="6"/>
      <c r="I65" s="28"/>
      <c r="J65" s="30"/>
      <c r="K65" s="6"/>
      <c r="L65" s="6"/>
      <c r="M65" s="6"/>
      <c r="N65" s="128"/>
      <c r="O65" s="5"/>
      <c r="P65" s="5"/>
      <c r="Q65" s="5"/>
    </row>
    <row r="66" spans="1:17" ht="15.75" hidden="1">
      <c r="A66" s="29"/>
      <c r="B66" s="7"/>
      <c r="C66" s="7"/>
      <c r="D66" s="7"/>
      <c r="E66" s="29"/>
      <c r="F66" s="47"/>
      <c r="G66" s="7"/>
      <c r="H66" s="6"/>
      <c r="I66" s="28"/>
      <c r="J66" s="30"/>
      <c r="K66" s="6"/>
      <c r="L66" s="6"/>
      <c r="M66" s="6"/>
      <c r="N66" s="125"/>
      <c r="O66" s="5"/>
      <c r="P66" s="5"/>
      <c r="Q66" s="5"/>
    </row>
    <row r="67" spans="1:17" ht="15.75" hidden="1">
      <c r="A67" s="29"/>
      <c r="B67" s="7"/>
      <c r="C67" s="7"/>
      <c r="D67" s="7"/>
      <c r="E67" s="29"/>
      <c r="F67" s="47"/>
      <c r="G67" s="7"/>
      <c r="H67" s="6"/>
      <c r="I67" s="28"/>
      <c r="J67" s="30"/>
      <c r="K67" s="6"/>
      <c r="L67" s="6"/>
      <c r="M67" s="6"/>
      <c r="N67" s="125"/>
      <c r="O67" s="5"/>
      <c r="P67" s="5"/>
      <c r="Q67" s="5"/>
    </row>
    <row r="68" spans="1:17" ht="16.5" thickBot="1">
      <c r="A68" s="29"/>
      <c r="B68" s="7"/>
      <c r="C68" s="7"/>
      <c r="D68" s="7"/>
      <c r="E68" s="29"/>
      <c r="F68" s="47"/>
      <c r="G68" s="7"/>
      <c r="H68" s="6"/>
      <c r="I68" s="28"/>
      <c r="J68" s="30"/>
      <c r="K68" s="6"/>
      <c r="L68" s="6"/>
      <c r="M68" s="6"/>
      <c r="N68" s="125"/>
      <c r="O68" s="5"/>
      <c r="P68" s="5"/>
      <c r="Q68" s="5"/>
    </row>
    <row r="69" spans="1:17" ht="16.5" thickBot="1">
      <c r="A69" s="228" t="s">
        <v>161</v>
      </c>
      <c r="B69" s="41"/>
      <c r="C69" s="46"/>
      <c r="D69" s="41"/>
      <c r="E69" s="41"/>
      <c r="F69" s="46"/>
      <c r="G69" s="48"/>
      <c r="H69" s="42"/>
      <c r="I69" s="5"/>
      <c r="J69" s="5"/>
      <c r="K69" s="125"/>
      <c r="L69" s="5"/>
      <c r="M69" s="5"/>
      <c r="N69" s="5"/>
    </row>
    <row r="70" spans="1:17" ht="15.75">
      <c r="A70" s="78"/>
      <c r="B70" s="39"/>
      <c r="C70" s="11"/>
      <c r="D70" s="39"/>
      <c r="E70" s="39"/>
      <c r="F70" s="11"/>
      <c r="G70" s="75"/>
      <c r="H70" s="76"/>
      <c r="I70" s="5"/>
      <c r="J70" s="5"/>
      <c r="K70" s="125"/>
      <c r="L70" s="5"/>
      <c r="M70" s="5"/>
      <c r="N70" s="5"/>
    </row>
    <row r="71" spans="1:17" ht="15.75">
      <c r="A71" s="103"/>
      <c r="B71" s="7"/>
      <c r="C71" s="6"/>
      <c r="D71" s="7"/>
      <c r="E71" s="7"/>
      <c r="F71" s="6"/>
      <c r="G71" s="29"/>
      <c r="H71" s="12"/>
      <c r="I71" s="5"/>
      <c r="J71" s="5"/>
      <c r="K71" s="125"/>
      <c r="L71" s="5"/>
      <c r="M71" s="5"/>
      <c r="N71" s="5"/>
    </row>
    <row r="72" spans="1:17" ht="15.75">
      <c r="A72" s="103"/>
      <c r="B72" s="6"/>
      <c r="C72" s="47"/>
      <c r="D72" s="6"/>
      <c r="E72" s="7"/>
      <c r="F72" s="6"/>
      <c r="G72" s="29"/>
      <c r="H72" s="12"/>
      <c r="I72" s="5"/>
      <c r="J72" s="5"/>
      <c r="K72" s="125"/>
      <c r="L72" s="5"/>
      <c r="M72" s="5"/>
      <c r="N72" s="5"/>
    </row>
    <row r="73" spans="1:17" ht="15.75">
      <c r="A73" s="103"/>
      <c r="B73" s="6"/>
      <c r="C73" s="6"/>
      <c r="D73" s="6"/>
      <c r="E73" s="7"/>
      <c r="F73" s="6"/>
      <c r="G73" s="29"/>
      <c r="H73" s="12"/>
      <c r="I73" s="5"/>
      <c r="J73" s="5"/>
      <c r="K73" s="125"/>
      <c r="L73" s="5"/>
      <c r="M73" s="5"/>
      <c r="N73" s="5"/>
    </row>
    <row r="74" spans="1:17" ht="15.75">
      <c r="A74" s="103"/>
      <c r="B74" s="7"/>
      <c r="C74" s="6"/>
      <c r="D74" s="7"/>
      <c r="E74" s="7"/>
      <c r="F74" s="6"/>
      <c r="G74" s="29"/>
      <c r="H74" s="12"/>
      <c r="I74" s="5"/>
      <c r="J74" s="5"/>
      <c r="K74" s="125"/>
      <c r="L74" s="5"/>
      <c r="M74" s="5"/>
      <c r="N74" s="5"/>
    </row>
    <row r="75" spans="1:17" ht="15.75">
      <c r="A75" s="103"/>
      <c r="B75" s="7"/>
      <c r="C75" s="6"/>
      <c r="D75" s="7"/>
      <c r="E75" s="7"/>
      <c r="F75" s="6"/>
      <c r="G75" s="29"/>
      <c r="H75" s="12"/>
      <c r="I75" s="5"/>
      <c r="J75" s="5"/>
      <c r="K75" s="125"/>
      <c r="L75" s="5"/>
      <c r="M75" s="5"/>
      <c r="N75" s="5"/>
    </row>
    <row r="76" spans="1:17" ht="15.75">
      <c r="A76" s="103"/>
      <c r="B76" s="7"/>
      <c r="C76" s="6"/>
      <c r="D76" s="7"/>
      <c r="E76" s="7"/>
      <c r="F76" s="6"/>
      <c r="G76" s="29"/>
      <c r="H76" s="12"/>
      <c r="I76" s="5"/>
      <c r="J76" s="5"/>
      <c r="K76" s="125"/>
      <c r="L76" s="5"/>
      <c r="M76" s="5"/>
      <c r="N76" s="5"/>
    </row>
    <row r="77" spans="1:17" ht="15.75">
      <c r="A77" s="103"/>
      <c r="B77" s="7"/>
      <c r="C77" s="6"/>
      <c r="D77" s="7"/>
      <c r="E77" s="7"/>
      <c r="F77" s="6"/>
      <c r="G77" s="29"/>
      <c r="H77" s="12"/>
      <c r="I77" s="5"/>
      <c r="J77" s="5"/>
      <c r="K77" s="125"/>
      <c r="L77" s="5"/>
      <c r="M77" s="5"/>
      <c r="N77" s="5"/>
    </row>
    <row r="78" spans="1:17" ht="15.75">
      <c r="A78" s="103"/>
      <c r="B78" s="7"/>
      <c r="C78" s="6"/>
      <c r="D78" s="7"/>
      <c r="E78" s="7"/>
      <c r="F78" s="6"/>
      <c r="G78" s="29"/>
      <c r="H78" s="12"/>
      <c r="I78" s="5"/>
      <c r="J78" s="5"/>
      <c r="K78" s="125"/>
      <c r="L78" s="5"/>
      <c r="M78" s="5"/>
      <c r="N78" s="5"/>
    </row>
    <row r="79" spans="1:17" ht="15.75">
      <c r="A79" s="103"/>
      <c r="B79" s="7"/>
      <c r="C79" s="6"/>
      <c r="D79" s="7"/>
      <c r="E79" s="7"/>
      <c r="F79" s="6"/>
      <c r="G79" s="29"/>
      <c r="H79" s="12"/>
      <c r="I79" s="5"/>
      <c r="J79" s="5"/>
      <c r="K79" s="125"/>
      <c r="L79" s="5"/>
      <c r="M79" s="5"/>
      <c r="N79" s="5"/>
    </row>
    <row r="80" spans="1:17" ht="15.75">
      <c r="A80" s="103"/>
      <c r="B80" s="7"/>
      <c r="C80" s="6"/>
      <c r="D80" s="7"/>
      <c r="E80" s="7"/>
      <c r="F80" s="6"/>
      <c r="G80" s="29"/>
      <c r="H80" s="12"/>
      <c r="I80" s="5"/>
      <c r="J80" s="5"/>
      <c r="K80" s="125"/>
      <c r="L80" s="5"/>
      <c r="M80" s="5"/>
      <c r="N80" s="5"/>
    </row>
    <row r="81" spans="1:17" ht="15.75">
      <c r="A81" s="103"/>
      <c r="B81" s="7"/>
      <c r="C81" s="6"/>
      <c r="D81" s="7"/>
      <c r="E81" s="7"/>
      <c r="F81" s="6"/>
      <c r="G81" s="29"/>
      <c r="H81" s="12"/>
      <c r="I81" s="5"/>
      <c r="J81" s="5"/>
      <c r="K81" s="125"/>
      <c r="L81" s="5"/>
      <c r="M81" s="5"/>
      <c r="N81" s="5"/>
    </row>
    <row r="82" spans="1:17" ht="15.75">
      <c r="A82" s="103"/>
      <c r="B82" s="7"/>
      <c r="C82" s="6"/>
      <c r="D82" s="7"/>
      <c r="E82" s="7"/>
      <c r="F82" s="6"/>
      <c r="G82" s="29"/>
      <c r="H82" s="12"/>
      <c r="I82" s="5"/>
      <c r="J82" s="5"/>
      <c r="K82" s="125"/>
      <c r="L82" s="5"/>
      <c r="M82" s="5"/>
      <c r="N82" s="5"/>
    </row>
    <row r="83" spans="1:17" ht="18">
      <c r="A83" s="77"/>
      <c r="B83" s="7"/>
      <c r="C83" s="6"/>
      <c r="D83" s="7"/>
      <c r="E83" s="7"/>
      <c r="F83" s="6"/>
      <c r="G83" s="29"/>
      <c r="H83" s="230"/>
      <c r="I83" s="5"/>
      <c r="J83" s="5"/>
      <c r="K83" s="5"/>
    </row>
    <row r="84" spans="1:17">
      <c r="A84" s="83" t="s">
        <v>52</v>
      </c>
      <c r="B84" s="122"/>
      <c r="C84" s="285" t="s">
        <v>51</v>
      </c>
      <c r="D84" s="286"/>
      <c r="E84" s="287"/>
      <c r="F84" s="84" t="s">
        <v>50</v>
      </c>
      <c r="G84" s="84" t="s">
        <v>38</v>
      </c>
      <c r="H84" s="231" t="s">
        <v>196</v>
      </c>
      <c r="J84" s="5"/>
      <c r="K84" s="125"/>
      <c r="L84" s="5"/>
      <c r="M84" s="5"/>
      <c r="N84" s="5"/>
    </row>
    <row r="85" spans="1:17">
      <c r="A85" s="294" t="s">
        <v>250</v>
      </c>
      <c r="B85" s="295"/>
      <c r="C85" s="296" t="s">
        <v>75</v>
      </c>
      <c r="D85" s="296"/>
      <c r="E85" s="296"/>
      <c r="F85" s="202" t="s">
        <v>11</v>
      </c>
      <c r="G85" s="101" t="s">
        <v>41</v>
      </c>
      <c r="H85" s="232">
        <v>1</v>
      </c>
      <c r="I85" s="219" t="s">
        <v>84</v>
      </c>
      <c r="J85" s="5"/>
      <c r="K85" s="125"/>
      <c r="L85" s="5"/>
      <c r="M85" s="5"/>
      <c r="N85" s="5"/>
    </row>
    <row r="86" spans="1:17" ht="18.75">
      <c r="A86" s="292"/>
      <c r="B86" s="297"/>
      <c r="C86" s="289" t="s">
        <v>76</v>
      </c>
      <c r="D86" s="289"/>
      <c r="E86" s="289"/>
      <c r="F86" s="200" t="s">
        <v>162</v>
      </c>
      <c r="G86" s="32" t="s">
        <v>41</v>
      </c>
      <c r="H86" s="233">
        <v>4</v>
      </c>
      <c r="I86" s="219" t="s">
        <v>84</v>
      </c>
      <c r="J86" s="5"/>
      <c r="K86" s="125"/>
      <c r="L86" s="5"/>
      <c r="M86" s="5"/>
      <c r="N86" s="5"/>
    </row>
    <row r="87" spans="1:17">
      <c r="A87" s="264"/>
      <c r="B87" s="265"/>
      <c r="C87" s="293"/>
      <c r="D87" s="293"/>
      <c r="E87" s="293"/>
      <c r="F87" s="196" t="s">
        <v>9</v>
      </c>
      <c r="G87" s="32" t="s">
        <v>41</v>
      </c>
      <c r="H87" s="102">
        <f>SQRT(235/B7)</f>
        <v>0.81940745141142779</v>
      </c>
      <c r="I87" s="219" t="s">
        <v>63</v>
      </c>
      <c r="J87" s="5"/>
      <c r="K87" s="125"/>
      <c r="L87" s="5"/>
      <c r="M87" s="5"/>
      <c r="N87" s="5"/>
    </row>
    <row r="88" spans="1:17" ht="18" customHeight="1">
      <c r="A88" s="264"/>
      <c r="B88" s="265"/>
      <c r="C88" s="293"/>
      <c r="D88" s="293"/>
      <c r="E88" s="293"/>
      <c r="F88" s="167"/>
      <c r="G88" s="209" t="s">
        <v>3</v>
      </c>
      <c r="H88" s="102">
        <f>D49</f>
        <v>70.656854249492383</v>
      </c>
      <c r="I88" s="217"/>
      <c r="J88" s="5"/>
      <c r="K88" s="125"/>
      <c r="L88" s="5"/>
      <c r="M88" s="5"/>
      <c r="N88" s="5"/>
    </row>
    <row r="89" spans="1:17" ht="18" customHeight="1">
      <c r="A89" s="264"/>
      <c r="B89" s="288"/>
      <c r="C89" s="289" t="s">
        <v>85</v>
      </c>
      <c r="D89" s="289"/>
      <c r="E89" s="289"/>
      <c r="F89" s="167"/>
      <c r="G89" s="32" t="s">
        <v>41</v>
      </c>
      <c r="H89" s="234">
        <f>(H88/G7)/(28.4*H87*SQRT(H86))</f>
        <v>0.75905991545039875</v>
      </c>
      <c r="I89" s="219" t="s">
        <v>63</v>
      </c>
      <c r="J89" s="5"/>
      <c r="K89" s="125"/>
      <c r="L89" s="5"/>
      <c r="M89" s="5"/>
      <c r="N89" s="5"/>
    </row>
    <row r="90" spans="1:17" ht="18" customHeight="1">
      <c r="A90" s="292"/>
      <c r="B90" s="261"/>
      <c r="C90" s="289" t="s">
        <v>77</v>
      </c>
      <c r="D90" s="289"/>
      <c r="E90" s="289"/>
      <c r="F90" s="203" t="s">
        <v>10</v>
      </c>
      <c r="G90" s="32" t="s">
        <v>41</v>
      </c>
      <c r="H90" s="234">
        <f>IF(H89&gt;0.673,(H89-0.055*(3+$H85))/POWER(H89,2),1)</f>
        <v>0.93558860431261492</v>
      </c>
      <c r="I90" s="219" t="s">
        <v>63</v>
      </c>
      <c r="K90" s="126"/>
      <c r="O90" s="2"/>
      <c r="P90" s="113"/>
      <c r="Q90" s="2"/>
    </row>
    <row r="91" spans="1:17" ht="17.25" customHeight="1">
      <c r="A91" s="290"/>
      <c r="B91" s="291"/>
      <c r="C91" s="289" t="s">
        <v>77</v>
      </c>
      <c r="D91" s="289"/>
      <c r="E91" s="289"/>
      <c r="F91" s="203" t="s">
        <v>260</v>
      </c>
      <c r="G91" s="32" t="s">
        <v>41</v>
      </c>
      <c r="H91" s="234">
        <f>IF(H90&gt;1,1,H90)</f>
        <v>0.93558860431261492</v>
      </c>
      <c r="I91" s="219" t="s">
        <v>63</v>
      </c>
      <c r="K91" s="126"/>
      <c r="O91" s="2"/>
      <c r="P91" s="113"/>
      <c r="Q91" s="2"/>
    </row>
    <row r="92" spans="1:17" ht="18.75">
      <c r="A92" s="290"/>
      <c r="B92" s="291"/>
      <c r="C92" s="289" t="s">
        <v>42</v>
      </c>
      <c r="D92" s="289"/>
      <c r="E92" s="289"/>
      <c r="F92" s="196" t="s">
        <v>22</v>
      </c>
      <c r="G92" s="209" t="s">
        <v>3</v>
      </c>
      <c r="H92" s="102">
        <f>H91*$H88</f>
        <v>66.105747652402428</v>
      </c>
      <c r="I92" s="219" t="s">
        <v>84</v>
      </c>
      <c r="K92" s="126"/>
      <c r="O92" s="2"/>
      <c r="P92" s="113"/>
      <c r="Q92" s="2"/>
    </row>
    <row r="93" spans="1:17" ht="18.75">
      <c r="A93" s="290"/>
      <c r="B93" s="291"/>
      <c r="C93" s="289"/>
      <c r="D93" s="289"/>
      <c r="E93" s="289"/>
      <c r="F93" s="196" t="s">
        <v>163</v>
      </c>
      <c r="G93" s="209" t="s">
        <v>3</v>
      </c>
      <c r="H93" s="102">
        <f>0.5*H92</f>
        <v>33.052873826201214</v>
      </c>
      <c r="I93" s="219" t="s">
        <v>84</v>
      </c>
      <c r="O93" s="2"/>
      <c r="P93" s="113"/>
      <c r="Q93" s="2"/>
    </row>
    <row r="94" spans="1:17" ht="18.75">
      <c r="A94" s="290"/>
      <c r="B94" s="291"/>
      <c r="C94" s="289"/>
      <c r="D94" s="289"/>
      <c r="E94" s="289"/>
      <c r="F94" s="196" t="s">
        <v>164</v>
      </c>
      <c r="G94" s="209" t="s">
        <v>3</v>
      </c>
      <c r="H94" s="102">
        <f>H93</f>
        <v>33.052873826201214</v>
      </c>
      <c r="I94" s="219" t="s">
        <v>84</v>
      </c>
      <c r="K94" s="126"/>
      <c r="O94" s="2"/>
      <c r="P94" s="113"/>
      <c r="Q94" s="2"/>
    </row>
    <row r="95" spans="1:17" ht="18.75">
      <c r="A95" s="290"/>
      <c r="B95" s="291"/>
      <c r="C95" s="289" t="s">
        <v>78</v>
      </c>
      <c r="D95" s="289"/>
      <c r="E95" s="289"/>
      <c r="F95" s="196" t="s">
        <v>167</v>
      </c>
      <c r="G95" s="209" t="s">
        <v>3</v>
      </c>
      <c r="H95" s="102">
        <f>H93</f>
        <v>33.052873826201214</v>
      </c>
      <c r="I95" s="219"/>
      <c r="K95" s="188" t="s">
        <v>261</v>
      </c>
      <c r="L95" s="245"/>
      <c r="M95" s="245"/>
      <c r="O95" s="2"/>
      <c r="P95" s="113"/>
      <c r="Q95" s="2"/>
    </row>
    <row r="96" spans="1:17" ht="18.75">
      <c r="A96" s="290"/>
      <c r="B96" s="291"/>
      <c r="C96" s="289" t="s">
        <v>78</v>
      </c>
      <c r="D96" s="289"/>
      <c r="E96" s="289"/>
      <c r="F96" s="196" t="s">
        <v>168</v>
      </c>
      <c r="G96" s="209" t="s">
        <v>3</v>
      </c>
      <c r="H96" s="102">
        <f>H94</f>
        <v>33.052873826201214</v>
      </c>
      <c r="I96" s="219"/>
      <c r="K96" s="188" t="s">
        <v>262</v>
      </c>
      <c r="L96" s="171"/>
      <c r="M96" s="171"/>
      <c r="O96" s="2"/>
      <c r="P96" s="113"/>
      <c r="Q96" s="2"/>
    </row>
    <row r="97" spans="1:18" ht="18.75">
      <c r="A97" s="290"/>
      <c r="B97" s="291"/>
      <c r="C97" s="289" t="s">
        <v>78</v>
      </c>
      <c r="D97" s="289"/>
      <c r="E97" s="289"/>
      <c r="F97" s="196" t="s">
        <v>169</v>
      </c>
      <c r="G97" s="209" t="s">
        <v>3</v>
      </c>
      <c r="H97" s="102">
        <f>H95+$B38</f>
        <v>34.224446701455022</v>
      </c>
      <c r="I97" s="219"/>
      <c r="K97" s="188" t="s">
        <v>263</v>
      </c>
      <c r="L97" s="246"/>
      <c r="M97" s="171"/>
      <c r="O97" s="2"/>
      <c r="P97" s="113"/>
      <c r="Q97" s="2"/>
    </row>
    <row r="98" spans="1:18" ht="18.75">
      <c r="A98" s="290"/>
      <c r="B98" s="291"/>
      <c r="C98" s="289" t="s">
        <v>78</v>
      </c>
      <c r="D98" s="289"/>
      <c r="E98" s="289"/>
      <c r="F98" s="196" t="s">
        <v>170</v>
      </c>
      <c r="G98" s="209" t="s">
        <v>3</v>
      </c>
      <c r="H98" s="102">
        <f>H97</f>
        <v>34.224446701455022</v>
      </c>
      <c r="I98" s="219"/>
      <c r="K98" s="188" t="s">
        <v>264</v>
      </c>
      <c r="L98" s="247"/>
      <c r="M98" s="171"/>
      <c r="O98" s="2"/>
      <c r="P98" s="113"/>
      <c r="Q98" s="2"/>
    </row>
    <row r="99" spans="1:18" ht="18.75">
      <c r="A99" s="292"/>
      <c r="B99" s="261"/>
      <c r="C99" s="289" t="s">
        <v>78</v>
      </c>
      <c r="D99" s="289"/>
      <c r="E99" s="289"/>
      <c r="F99" s="203" t="s">
        <v>165</v>
      </c>
      <c r="G99" s="209" t="s">
        <v>3</v>
      </c>
      <c r="H99" s="102">
        <f>H97-$B37</f>
        <v>30.224446701455022</v>
      </c>
      <c r="I99" s="217"/>
      <c r="K99" s="188" t="s">
        <v>265</v>
      </c>
      <c r="L99" s="247"/>
      <c r="M99" s="171"/>
      <c r="O99" s="2"/>
      <c r="P99" s="113"/>
      <c r="Q99" s="2"/>
    </row>
    <row r="100" spans="1:18" ht="18.75">
      <c r="A100" s="292"/>
      <c r="B100" s="261"/>
      <c r="C100" s="289" t="s">
        <v>78</v>
      </c>
      <c r="D100" s="289"/>
      <c r="E100" s="289"/>
      <c r="F100" s="203" t="s">
        <v>166</v>
      </c>
      <c r="G100" s="209" t="s">
        <v>3</v>
      </c>
      <c r="H100" s="102">
        <f>H99</f>
        <v>30.224446701455022</v>
      </c>
      <c r="I100" s="217"/>
      <c r="K100" s="188" t="s">
        <v>266</v>
      </c>
      <c r="L100" s="247"/>
      <c r="M100" s="171"/>
      <c r="O100" s="2"/>
      <c r="P100" s="113"/>
      <c r="Q100" s="2"/>
    </row>
    <row r="101" spans="1:18" ht="18.75">
      <c r="A101" s="298" t="s">
        <v>251</v>
      </c>
      <c r="B101" s="299"/>
      <c r="C101" s="300"/>
      <c r="D101" s="300"/>
      <c r="E101" s="300"/>
      <c r="F101" s="198" t="s">
        <v>153</v>
      </c>
      <c r="G101" s="104" t="s">
        <v>3</v>
      </c>
      <c r="H101" s="235">
        <f>F49</f>
        <v>22.828427124746192</v>
      </c>
      <c r="I101" s="217"/>
      <c r="K101" s="127"/>
      <c r="L101" s="2"/>
      <c r="M101" s="2"/>
      <c r="O101" s="2"/>
      <c r="P101" s="113"/>
      <c r="Q101" s="2"/>
    </row>
    <row r="102" spans="1:18" ht="18.75">
      <c r="A102" s="301"/>
      <c r="B102" s="302"/>
      <c r="C102" s="303"/>
      <c r="D102" s="303"/>
      <c r="E102" s="303"/>
      <c r="F102" s="196" t="s">
        <v>156</v>
      </c>
      <c r="G102" s="211" t="s">
        <v>3</v>
      </c>
      <c r="H102" s="67">
        <f>D49</f>
        <v>70.656854249492383</v>
      </c>
      <c r="I102" s="217"/>
      <c r="K102" s="127"/>
      <c r="L102" s="2"/>
      <c r="M102" s="7"/>
      <c r="O102" s="2"/>
      <c r="P102" s="113"/>
      <c r="Q102" s="2"/>
    </row>
    <row r="103" spans="1:18" ht="15.75">
      <c r="A103" s="301"/>
      <c r="B103" s="302"/>
      <c r="C103" s="303"/>
      <c r="D103" s="303"/>
      <c r="E103" s="303"/>
      <c r="F103" s="204" t="s">
        <v>171</v>
      </c>
      <c r="G103" s="211"/>
      <c r="H103" s="67">
        <f>H101/H102</f>
        <v>0.32308864252770209</v>
      </c>
      <c r="I103" s="217"/>
      <c r="K103" s="127"/>
      <c r="L103" s="2"/>
      <c r="M103" s="7"/>
      <c r="O103" s="2"/>
      <c r="P103" s="113"/>
      <c r="Q103" s="2"/>
    </row>
    <row r="104" spans="1:18" ht="18.75">
      <c r="A104" s="301"/>
      <c r="B104" s="302"/>
      <c r="C104" s="289" t="s">
        <v>76</v>
      </c>
      <c r="D104" s="289"/>
      <c r="E104" s="289"/>
      <c r="F104" s="200" t="s">
        <v>162</v>
      </c>
      <c r="G104" s="32" t="s">
        <v>41</v>
      </c>
      <c r="H104" s="236">
        <f>IF(H103&gt;0.35,IF(H103&lt;=0.6,0.5+0.83*POWER(POWER((H103-0.35),2),(1/3)),"Error"),0.5)</f>
        <v>0.5</v>
      </c>
      <c r="I104" s="219" t="s">
        <v>86</v>
      </c>
      <c r="K104" s="127"/>
      <c r="L104" s="2"/>
      <c r="M104" s="7"/>
      <c r="O104" s="2"/>
      <c r="P104" s="113"/>
      <c r="Q104" s="2"/>
    </row>
    <row r="105" spans="1:18">
      <c r="A105" s="301"/>
      <c r="B105" s="302"/>
      <c r="C105" s="303"/>
      <c r="D105" s="303"/>
      <c r="E105" s="303"/>
      <c r="F105" s="196" t="s">
        <v>9</v>
      </c>
      <c r="G105" s="32" t="s">
        <v>41</v>
      </c>
      <c r="H105" s="67">
        <f>SQRT(235/B7)</f>
        <v>0.81940745141142779</v>
      </c>
      <c r="I105" s="219" t="s">
        <v>63</v>
      </c>
      <c r="K105" s="127"/>
      <c r="L105" s="2"/>
      <c r="M105" s="7"/>
      <c r="O105" s="2"/>
      <c r="P105" s="113"/>
      <c r="Q105" s="2"/>
    </row>
    <row r="106" spans="1:18" ht="18.75" customHeight="1">
      <c r="A106" s="301"/>
      <c r="B106" s="302"/>
      <c r="C106" s="303"/>
      <c r="D106" s="303"/>
      <c r="E106" s="303"/>
      <c r="F106" s="167"/>
      <c r="G106" s="211" t="s">
        <v>3</v>
      </c>
      <c r="H106" s="67">
        <f>F49</f>
        <v>22.828427124746192</v>
      </c>
      <c r="I106" s="217"/>
      <c r="K106" s="127"/>
      <c r="L106" s="2"/>
      <c r="M106" s="7"/>
      <c r="O106" s="2"/>
      <c r="P106" s="113"/>
      <c r="Q106" s="2"/>
    </row>
    <row r="107" spans="1:18" ht="19.5" customHeight="1">
      <c r="A107" s="301"/>
      <c r="B107" s="306"/>
      <c r="C107" s="307" t="s">
        <v>85</v>
      </c>
      <c r="D107" s="308"/>
      <c r="E107" s="309"/>
      <c r="F107" s="167"/>
      <c r="G107" s="105" t="s">
        <v>41</v>
      </c>
      <c r="H107" s="234">
        <f>(H106/G7)/(28.4*H105*SQRT(H104))</f>
        <v>0.69365375698571308</v>
      </c>
      <c r="I107" s="219" t="s">
        <v>63</v>
      </c>
      <c r="K107" s="127"/>
      <c r="L107" s="2"/>
      <c r="M107" s="7"/>
      <c r="O107" s="2"/>
      <c r="P107" s="113"/>
      <c r="Q107" s="2"/>
    </row>
    <row r="108" spans="1:18">
      <c r="A108" s="304"/>
      <c r="B108" s="271"/>
      <c r="C108" s="305" t="s">
        <v>77</v>
      </c>
      <c r="D108" s="305"/>
      <c r="E108" s="305"/>
      <c r="F108" s="205" t="s">
        <v>10</v>
      </c>
      <c r="G108" s="105" t="s">
        <v>41</v>
      </c>
      <c r="H108" s="237">
        <f>IF(H107&gt;0.748,(H107-0.188)/POWER(H107,2),1)</f>
        <v>1</v>
      </c>
      <c r="I108" s="219" t="s">
        <v>63</v>
      </c>
      <c r="K108" s="129"/>
      <c r="L108" s="2"/>
      <c r="M108" s="2"/>
      <c r="O108" s="2"/>
      <c r="P108" s="113"/>
      <c r="Q108" s="2"/>
      <c r="R108" s="2"/>
    </row>
    <row r="109" spans="1:18">
      <c r="A109" s="301"/>
      <c r="B109" s="302"/>
      <c r="C109" s="305" t="s">
        <v>77</v>
      </c>
      <c r="D109" s="305"/>
      <c r="E109" s="305"/>
      <c r="F109" s="205" t="s">
        <v>259</v>
      </c>
      <c r="G109" s="105" t="s">
        <v>41</v>
      </c>
      <c r="H109" s="234">
        <f>IF(H108&gt;1,1,H108)</f>
        <v>1</v>
      </c>
      <c r="I109" s="219" t="s">
        <v>63</v>
      </c>
      <c r="K109" s="129"/>
      <c r="L109" s="2"/>
      <c r="M109" s="2"/>
      <c r="O109" s="2"/>
      <c r="P109" s="113"/>
      <c r="Q109" s="2"/>
      <c r="R109" s="2"/>
    </row>
    <row r="110" spans="1:18" ht="18.75">
      <c r="A110" s="301"/>
      <c r="B110" s="302"/>
      <c r="C110" s="303"/>
      <c r="D110" s="303"/>
      <c r="E110" s="303"/>
      <c r="F110" s="196" t="s">
        <v>16</v>
      </c>
      <c r="G110" s="211" t="s">
        <v>3</v>
      </c>
      <c r="H110" s="67">
        <f>H109*$H101</f>
        <v>22.828427124746192</v>
      </c>
      <c r="I110" s="219" t="s">
        <v>87</v>
      </c>
      <c r="K110" s="129"/>
      <c r="L110" s="2"/>
      <c r="M110" s="2"/>
      <c r="O110" s="2"/>
      <c r="P110" s="113"/>
      <c r="Q110" s="2"/>
      <c r="R110" s="2"/>
    </row>
    <row r="111" spans="1:18" ht="18.75">
      <c r="A111" s="301"/>
      <c r="B111" s="302"/>
      <c r="C111" s="289" t="s">
        <v>78</v>
      </c>
      <c r="D111" s="289"/>
      <c r="E111" s="289"/>
      <c r="F111" s="196" t="s">
        <v>172</v>
      </c>
      <c r="G111" s="211" t="s">
        <v>3</v>
      </c>
      <c r="H111" s="67">
        <f>H110+$B38</f>
        <v>24</v>
      </c>
      <c r="I111" s="219"/>
      <c r="K111" s="188" t="s">
        <v>225</v>
      </c>
      <c r="L111" s="2"/>
      <c r="M111" s="2"/>
      <c r="O111" s="2"/>
      <c r="P111" s="113"/>
      <c r="Q111" s="2"/>
      <c r="R111" s="2"/>
    </row>
    <row r="112" spans="1:18" ht="18.75">
      <c r="A112" s="301"/>
      <c r="B112" s="302"/>
      <c r="C112" s="289" t="s">
        <v>78</v>
      </c>
      <c r="D112" s="289"/>
      <c r="E112" s="289"/>
      <c r="F112" s="196" t="s">
        <v>124</v>
      </c>
      <c r="G112" s="211" t="s">
        <v>3</v>
      </c>
      <c r="H112" s="67">
        <f>H111-$B37</f>
        <v>20</v>
      </c>
      <c r="I112" s="219"/>
      <c r="K112" s="188" t="s">
        <v>226</v>
      </c>
      <c r="L112" s="2"/>
      <c r="M112" s="7"/>
      <c r="O112" s="2"/>
      <c r="P112" s="113"/>
      <c r="Q112" s="2"/>
      <c r="R112" s="2"/>
    </row>
    <row r="113" spans="1:18" ht="18.75">
      <c r="A113" s="294" t="s">
        <v>30</v>
      </c>
      <c r="B113" s="295"/>
      <c r="C113" s="296" t="s">
        <v>44</v>
      </c>
      <c r="D113" s="296"/>
      <c r="E113" s="296"/>
      <c r="F113" s="206" t="s">
        <v>173</v>
      </c>
      <c r="G113" s="210" t="s">
        <v>3</v>
      </c>
      <c r="H113" s="238">
        <f>((($B39*($B37-$B40))+(H112*((0.5*H112)+$B37)))*$G7)/H120</f>
        <v>5.1165333741439651</v>
      </c>
      <c r="I113" s="217"/>
      <c r="K113" s="188" t="s">
        <v>229</v>
      </c>
      <c r="L113" s="2"/>
      <c r="M113" s="7"/>
      <c r="O113" s="99"/>
      <c r="P113" s="2"/>
      <c r="Q113" s="2"/>
      <c r="R113" s="2"/>
    </row>
    <row r="114" spans="1:18" ht="18.75">
      <c r="A114" s="292"/>
      <c r="B114" s="261"/>
      <c r="C114" s="289" t="s">
        <v>44</v>
      </c>
      <c r="D114" s="289"/>
      <c r="E114" s="289"/>
      <c r="F114" s="203" t="s">
        <v>174</v>
      </c>
      <c r="G114" s="209" t="s">
        <v>3</v>
      </c>
      <c r="H114" s="239">
        <f>((($B39*($B37-$B40))+(H100*((0.5*H100)+$B37)))*$G7)/H120</f>
        <v>10.384076278169472</v>
      </c>
      <c r="I114" s="217"/>
      <c r="K114" s="188" t="s">
        <v>230</v>
      </c>
      <c r="L114" s="6"/>
      <c r="M114" s="7"/>
      <c r="O114" s="99"/>
      <c r="P114" s="2"/>
      <c r="Q114" s="2"/>
      <c r="R114" s="2"/>
    </row>
    <row r="115" spans="1:18" ht="18.75">
      <c r="A115" s="292"/>
      <c r="B115" s="261"/>
      <c r="C115" s="289" t="s">
        <v>44</v>
      </c>
      <c r="D115" s="289"/>
      <c r="E115" s="289"/>
      <c r="F115" s="203" t="s">
        <v>175</v>
      </c>
      <c r="G115" s="209" t="s">
        <v>3</v>
      </c>
      <c r="H115" s="239">
        <f>$D49+(2*$B38)-H114</f>
        <v>62.615923721830526</v>
      </c>
      <c r="I115" s="217"/>
      <c r="K115" s="258" t="s">
        <v>227</v>
      </c>
      <c r="L115" s="259"/>
      <c r="M115" s="113"/>
      <c r="N115" s="113"/>
      <c r="O115" s="99"/>
      <c r="P115" s="2"/>
      <c r="Q115" s="2"/>
      <c r="R115" s="2"/>
    </row>
    <row r="116" spans="1:18" ht="18.75">
      <c r="A116" s="292"/>
      <c r="B116" s="261"/>
      <c r="C116" s="289" t="s">
        <v>44</v>
      </c>
      <c r="D116" s="289"/>
      <c r="E116" s="289"/>
      <c r="F116" s="203" t="s">
        <v>176</v>
      </c>
      <c r="G116" s="209" t="s">
        <v>3</v>
      </c>
      <c r="H116" s="239">
        <f>H115</f>
        <v>62.615923721830526</v>
      </c>
      <c r="I116" s="217"/>
      <c r="K116" s="258" t="s">
        <v>228</v>
      </c>
      <c r="L116" s="259"/>
      <c r="M116" s="113"/>
      <c r="N116" s="113"/>
      <c r="O116" s="99"/>
      <c r="P116" s="2"/>
      <c r="Q116" s="2"/>
      <c r="R116" s="2"/>
    </row>
    <row r="117" spans="1:18" ht="18.75">
      <c r="A117" s="290"/>
      <c r="B117" s="312"/>
      <c r="C117" s="313"/>
      <c r="D117" s="291"/>
      <c r="E117" s="312"/>
      <c r="F117" s="203" t="s">
        <v>177</v>
      </c>
      <c r="G117" s="32" t="s">
        <v>41</v>
      </c>
      <c r="H117" s="239">
        <v>0</v>
      </c>
      <c r="I117" s="217"/>
      <c r="K117" s="128"/>
      <c r="L117" s="99"/>
      <c r="M117" s="168"/>
      <c r="N117" s="168"/>
      <c r="O117" s="99"/>
      <c r="P117" s="167"/>
      <c r="Q117" s="167"/>
      <c r="R117" s="167"/>
    </row>
    <row r="118" spans="1:18" ht="18.75">
      <c r="A118" s="290"/>
      <c r="B118" s="291"/>
      <c r="C118" s="289" t="s">
        <v>72</v>
      </c>
      <c r="D118" s="289"/>
      <c r="E118" s="289"/>
      <c r="F118" s="203" t="s">
        <v>178</v>
      </c>
      <c r="G118" s="209" t="s">
        <v>58</v>
      </c>
      <c r="H118" s="237">
        <f>(($B4*POWER($G7,3))/(4*(1-POWER($B6,2))))*(1/((POWER(H115,2)*$B47)+POWER(H115,3)+(0.5*H115*H116*$B47*$H117)))</f>
        <v>0.37897852267439675</v>
      </c>
      <c r="I118" s="219" t="s">
        <v>69</v>
      </c>
      <c r="K118" s="126"/>
      <c r="L118" s="99"/>
      <c r="M118" s="7"/>
      <c r="N118" s="100"/>
      <c r="O118" s="99"/>
      <c r="P118" s="2"/>
      <c r="Q118" s="2"/>
      <c r="R118" s="2"/>
    </row>
    <row r="119" spans="1:18" ht="18.75">
      <c r="A119" s="292"/>
      <c r="B119" s="261"/>
      <c r="C119" s="289" t="s">
        <v>45</v>
      </c>
      <c r="D119" s="289"/>
      <c r="E119" s="289"/>
      <c r="F119" s="203" t="s">
        <v>179</v>
      </c>
      <c r="G119" s="209" t="s">
        <v>18</v>
      </c>
      <c r="H119" s="239">
        <f>(H100*$G7*POWER(H113,2))+$B41+($B39*$G7*POWER((H113-($B37-$B40)),2))+((1/12)*POWER(H112,3)*$G7)+(H112*$G7*POWER(($B37+(0.5*H112)-H113),2))</f>
        <v>6260.2822115068329</v>
      </c>
      <c r="I119" s="217"/>
      <c r="K119" s="188" t="s">
        <v>231</v>
      </c>
      <c r="L119" s="99"/>
      <c r="M119" s="113"/>
      <c r="N119" s="113"/>
      <c r="O119" s="99"/>
      <c r="P119" s="2"/>
      <c r="Q119" s="2"/>
      <c r="R119" s="2"/>
    </row>
    <row r="120" spans="1:18" ht="18.75">
      <c r="A120" s="290"/>
      <c r="B120" s="291"/>
      <c r="C120" s="289" t="s">
        <v>43</v>
      </c>
      <c r="D120" s="289"/>
      <c r="E120" s="289"/>
      <c r="F120" s="203" t="s">
        <v>180</v>
      </c>
      <c r="G120" s="209" t="s">
        <v>57</v>
      </c>
      <c r="H120" s="239">
        <f>(H100+$B39+H112)*$G7</f>
        <v>113.01526401726922</v>
      </c>
      <c r="I120" s="217"/>
      <c r="K120" s="188" t="s">
        <v>232</v>
      </c>
      <c r="L120" s="99"/>
      <c r="M120" s="113"/>
      <c r="N120" s="113"/>
      <c r="O120" s="99"/>
      <c r="P120" s="2"/>
      <c r="Q120" s="2"/>
      <c r="R120" s="2"/>
    </row>
    <row r="121" spans="1:18" ht="18.75" customHeight="1">
      <c r="A121" s="292"/>
      <c r="B121" s="261"/>
      <c r="C121" s="289" t="s">
        <v>46</v>
      </c>
      <c r="D121" s="289"/>
      <c r="E121" s="289"/>
      <c r="F121" s="203" t="s">
        <v>181</v>
      </c>
      <c r="G121" s="209" t="s">
        <v>58</v>
      </c>
      <c r="H121" s="239">
        <f>(2*SQRT(H118*$B4*H119))/H120</f>
        <v>395.00882106418715</v>
      </c>
      <c r="I121" s="219" t="s">
        <v>64</v>
      </c>
      <c r="K121" s="188"/>
      <c r="L121" s="99"/>
      <c r="M121" s="113"/>
      <c r="N121" s="113"/>
      <c r="O121" s="99"/>
      <c r="P121" s="2"/>
      <c r="Q121" s="2"/>
      <c r="R121" s="2"/>
    </row>
    <row r="122" spans="1:18" ht="18.75" customHeight="1">
      <c r="A122" s="290"/>
      <c r="B122" s="291"/>
      <c r="C122" s="289" t="s">
        <v>79</v>
      </c>
      <c r="D122" s="289"/>
      <c r="E122" s="289"/>
      <c r="F122" s="167"/>
      <c r="G122" s="32" t="s">
        <v>41</v>
      </c>
      <c r="H122" s="237">
        <f>SQRT($B7/H121)</f>
        <v>0.94130556257303488</v>
      </c>
      <c r="I122" s="219" t="s">
        <v>68</v>
      </c>
      <c r="K122" s="188"/>
      <c r="L122" s="99"/>
      <c r="M122" s="113"/>
      <c r="N122" s="113"/>
      <c r="O122" s="99"/>
      <c r="P122" s="2"/>
      <c r="Q122" s="2"/>
      <c r="R122" s="2"/>
    </row>
    <row r="123" spans="1:18" ht="18.75" customHeight="1">
      <c r="A123" s="292"/>
      <c r="B123" s="261"/>
      <c r="C123" s="289" t="s">
        <v>47</v>
      </c>
      <c r="D123" s="289"/>
      <c r="E123" s="289"/>
      <c r="F123" s="203" t="s">
        <v>257</v>
      </c>
      <c r="G123" s="32" t="s">
        <v>41</v>
      </c>
      <c r="H123" s="240">
        <f>IF(H122&gt;0.65,IF(H122&lt;1.38,1.47-0.723*H122,0.66/H122),1)</f>
        <v>0.78943607825969575</v>
      </c>
      <c r="I123" s="219" t="s">
        <v>68</v>
      </c>
      <c r="K123" s="188"/>
      <c r="L123" s="99"/>
      <c r="O123" s="99"/>
      <c r="P123" s="2"/>
      <c r="Q123" s="2"/>
      <c r="R123" s="2"/>
    </row>
    <row r="124" spans="1:18" ht="18.75">
      <c r="A124" s="290"/>
      <c r="B124" s="291"/>
      <c r="C124" s="318"/>
      <c r="D124" s="319"/>
      <c r="E124" s="320"/>
      <c r="F124" s="203" t="s">
        <v>83</v>
      </c>
      <c r="G124" s="209" t="s">
        <v>58</v>
      </c>
      <c r="H124" s="67">
        <f>(((0.5*$B47)-H113)*$B7)/(0.5*$B47)</f>
        <v>335.55817192781944</v>
      </c>
      <c r="I124" s="220"/>
      <c r="K124" s="188" t="s">
        <v>233</v>
      </c>
      <c r="L124" s="99"/>
      <c r="M124" s="6"/>
      <c r="N124" s="100"/>
      <c r="O124" s="99"/>
      <c r="P124" s="2"/>
      <c r="Q124" s="2"/>
      <c r="R124" s="2"/>
    </row>
    <row r="125" spans="1:18" ht="18.75">
      <c r="A125" s="290"/>
      <c r="B125" s="291"/>
      <c r="C125" s="289" t="s">
        <v>71</v>
      </c>
      <c r="D125" s="289"/>
      <c r="E125" s="289"/>
      <c r="F125" s="205" t="s">
        <v>17</v>
      </c>
      <c r="G125" s="71" t="s">
        <v>8</v>
      </c>
      <c r="H125" s="67">
        <f>H123*H120*(($B7/$B8)/H124)</f>
        <v>93.058125224153315</v>
      </c>
      <c r="I125" s="219" t="s">
        <v>67</v>
      </c>
      <c r="K125" s="188"/>
      <c r="L125" s="99"/>
      <c r="M125" s="113"/>
      <c r="N125" s="100"/>
      <c r="O125" s="99"/>
      <c r="P125" s="2"/>
      <c r="Q125" s="2"/>
      <c r="R125" s="2"/>
    </row>
    <row r="126" spans="1:18" ht="18.75">
      <c r="A126" s="290"/>
      <c r="B126" s="312"/>
      <c r="C126" s="289" t="s">
        <v>71</v>
      </c>
      <c r="D126" s="289"/>
      <c r="E126" s="289"/>
      <c r="F126" s="205" t="s">
        <v>17</v>
      </c>
      <c r="G126" s="71" t="s">
        <v>8</v>
      </c>
      <c r="H126" s="67">
        <f>IF(H125&gt;H120,H120,H125)</f>
        <v>93.058125224153315</v>
      </c>
      <c r="I126" s="219" t="s">
        <v>67</v>
      </c>
      <c r="K126" s="188"/>
      <c r="L126" s="99"/>
      <c r="M126" s="113"/>
      <c r="N126" s="100"/>
      <c r="O126" s="99"/>
      <c r="P126" s="2"/>
      <c r="Q126" s="2"/>
      <c r="R126" s="2"/>
    </row>
    <row r="127" spans="1:18" ht="19.5" thickBot="1">
      <c r="A127" s="321"/>
      <c r="B127" s="322"/>
      <c r="C127" s="317" t="s">
        <v>48</v>
      </c>
      <c r="D127" s="317"/>
      <c r="E127" s="317"/>
      <c r="F127" s="207" t="s">
        <v>119</v>
      </c>
      <c r="G127" s="208" t="s">
        <v>3</v>
      </c>
      <c r="H127" s="241">
        <f>($G7*H126)/H120</f>
        <v>1.6468240114881054</v>
      </c>
      <c r="I127" s="219" t="s">
        <v>88</v>
      </c>
      <c r="K127" s="188"/>
      <c r="L127" s="99"/>
      <c r="M127" s="113"/>
      <c r="N127" s="100"/>
      <c r="O127" s="99"/>
      <c r="P127" s="2"/>
      <c r="Q127" s="2"/>
      <c r="R127" s="2"/>
    </row>
    <row r="128" spans="1:18" ht="15.75" thickBot="1">
      <c r="A128" s="226"/>
      <c r="B128" s="227"/>
      <c r="C128" s="255"/>
      <c r="D128" s="255"/>
      <c r="E128" s="255"/>
      <c r="F128" s="256"/>
      <c r="G128" s="255"/>
      <c r="H128" s="257"/>
      <c r="I128" s="219"/>
      <c r="K128" s="188"/>
      <c r="L128" s="99"/>
      <c r="M128" s="221"/>
      <c r="N128" s="100"/>
      <c r="O128" s="99"/>
      <c r="P128" s="167"/>
      <c r="Q128" s="167"/>
      <c r="R128" s="167"/>
    </row>
    <row r="129" spans="1:18" ht="18.75" thickBot="1">
      <c r="A129" s="282" t="s">
        <v>249</v>
      </c>
      <c r="B129" s="310"/>
      <c r="C129" s="310"/>
      <c r="D129" s="310"/>
      <c r="E129" s="310"/>
      <c r="F129" s="310"/>
      <c r="G129" s="310"/>
      <c r="H129" s="311"/>
      <c r="I129" s="219"/>
      <c r="K129" s="188"/>
      <c r="L129" s="99"/>
      <c r="M129" s="169"/>
      <c r="N129" s="100"/>
      <c r="O129" s="99"/>
      <c r="P129" s="167"/>
      <c r="Q129" s="167"/>
      <c r="R129" s="167"/>
    </row>
    <row r="130" spans="1:18" ht="18.75">
      <c r="A130" s="269" t="s">
        <v>53</v>
      </c>
      <c r="B130" s="270"/>
      <c r="C130" s="289" t="s">
        <v>43</v>
      </c>
      <c r="D130" s="289"/>
      <c r="E130" s="289"/>
      <c r="F130" s="203" t="s">
        <v>182</v>
      </c>
      <c r="G130" s="222" t="s">
        <v>57</v>
      </c>
      <c r="H130" s="67">
        <f>($G7*$F48)+(2*$B42)+($D48*$G7)+($G7*$B48)+$B42+(H99*$G7)+H126</f>
        <v>841.20613047014081</v>
      </c>
      <c r="I130" s="217"/>
      <c r="J130" s="5"/>
      <c r="K130" s="188" t="s">
        <v>234</v>
      </c>
      <c r="L130" s="99"/>
      <c r="M130" s="113"/>
      <c r="N130" s="113"/>
      <c r="O130" s="99"/>
      <c r="P130" s="2"/>
      <c r="Q130" s="2"/>
      <c r="R130" s="2"/>
    </row>
    <row r="131" spans="1:18" ht="19.5" thickBot="1">
      <c r="A131" s="315" t="s">
        <v>49</v>
      </c>
      <c r="B131" s="316"/>
      <c r="C131" s="317" t="s">
        <v>73</v>
      </c>
      <c r="D131" s="317"/>
      <c r="E131" s="317"/>
      <c r="F131" s="207" t="s">
        <v>112</v>
      </c>
      <c r="G131" s="225" t="s">
        <v>3</v>
      </c>
      <c r="H131" s="241">
        <f>((($G7*$F48)*($G6-(0.5*$F48)-(0.5*$G7)))+(2*($B42*($B37-$B40)))+(($G7*$B48)*(0.5*$B47))+($B42*($B47-($B37-$B40)))+((H100*$G7)*$B47)+(H126*($B47-H113)))/H130</f>
        <v>119.83782362857905</v>
      </c>
      <c r="I131" s="217"/>
      <c r="J131" s="5"/>
      <c r="K131" s="188" t="s">
        <v>235</v>
      </c>
      <c r="L131" s="99"/>
      <c r="M131" s="2"/>
      <c r="N131" s="2"/>
      <c r="O131" s="2"/>
      <c r="P131" s="2"/>
      <c r="Q131" s="2"/>
      <c r="R131" s="2"/>
    </row>
    <row r="132" spans="1:18" ht="15.75" thickBot="1">
      <c r="A132" s="108"/>
      <c r="B132" s="108"/>
      <c r="C132" s="99"/>
      <c r="D132" s="99"/>
      <c r="E132" s="99"/>
      <c r="F132" s="113"/>
      <c r="G132" s="113"/>
      <c r="H132" s="47"/>
      <c r="I132" s="47"/>
      <c r="J132" s="47"/>
      <c r="K132" s="47"/>
      <c r="L132" s="5"/>
      <c r="M132" s="5"/>
      <c r="N132" s="128"/>
      <c r="O132" s="5"/>
    </row>
    <row r="133" spans="1:18" ht="16.5" thickBot="1">
      <c r="A133" s="228" t="s">
        <v>252</v>
      </c>
      <c r="B133" s="41"/>
      <c r="C133" s="46"/>
      <c r="D133" s="41"/>
      <c r="E133" s="41"/>
      <c r="F133" s="46"/>
      <c r="G133" s="48"/>
      <c r="H133" s="138"/>
      <c r="I133" s="217"/>
      <c r="J133" s="22"/>
      <c r="K133" s="6"/>
      <c r="L133" s="6"/>
      <c r="M133" s="2"/>
      <c r="N133" s="2"/>
    </row>
    <row r="134" spans="1:18">
      <c r="A134" s="83" t="s">
        <v>52</v>
      </c>
      <c r="B134" s="122"/>
      <c r="C134" s="285" t="s">
        <v>51</v>
      </c>
      <c r="D134" s="286"/>
      <c r="E134" s="287"/>
      <c r="F134" s="84" t="s">
        <v>50</v>
      </c>
      <c r="G134" s="84" t="s">
        <v>38</v>
      </c>
      <c r="H134" s="249" t="s">
        <v>196</v>
      </c>
      <c r="I134" s="217"/>
      <c r="J134" s="2"/>
      <c r="K134" s="129"/>
      <c r="L134" s="2"/>
      <c r="M134" s="2"/>
      <c r="N134" s="2"/>
    </row>
    <row r="135" spans="1:18" ht="18.75">
      <c r="A135" s="269" t="s">
        <v>39</v>
      </c>
      <c r="B135" s="270"/>
      <c r="C135" s="289" t="s">
        <v>80</v>
      </c>
      <c r="D135" s="289"/>
      <c r="E135" s="289"/>
      <c r="F135" s="196" t="s">
        <v>122</v>
      </c>
      <c r="G135" s="69" t="s">
        <v>3</v>
      </c>
      <c r="H135" s="67">
        <f>H131-$B38</f>
        <v>118.66625075332523</v>
      </c>
      <c r="I135" s="219" t="s">
        <v>84</v>
      </c>
      <c r="J135" s="2"/>
      <c r="K135" s="129"/>
      <c r="L135" s="2"/>
      <c r="N135" s="2"/>
    </row>
    <row r="136" spans="1:18" ht="18.75">
      <c r="A136" s="292"/>
      <c r="B136" s="261"/>
      <c r="C136" s="314" t="s">
        <v>81</v>
      </c>
      <c r="D136" s="261"/>
      <c r="E136" s="326"/>
      <c r="F136" s="196" t="s">
        <v>123</v>
      </c>
      <c r="G136" s="69" t="s">
        <v>3</v>
      </c>
      <c r="H136" s="67">
        <f>$B49-H135</f>
        <v>126.99060349616714</v>
      </c>
      <c r="I136" s="219" t="s">
        <v>84</v>
      </c>
      <c r="K136" s="126"/>
    </row>
    <row r="137" spans="1:18">
      <c r="A137" s="292"/>
      <c r="B137" s="261"/>
      <c r="C137" s="314" t="s">
        <v>75</v>
      </c>
      <c r="D137" s="261"/>
      <c r="E137" s="261"/>
      <c r="F137" s="205" t="s">
        <v>11</v>
      </c>
      <c r="G137" s="32" t="s">
        <v>41</v>
      </c>
      <c r="H137" s="237">
        <f>-(H135/H136)</f>
        <v>-0.93444906541377959</v>
      </c>
      <c r="I137" s="219" t="s">
        <v>84</v>
      </c>
      <c r="K137" s="126"/>
    </row>
    <row r="138" spans="1:18" ht="18.75">
      <c r="A138" s="292"/>
      <c r="B138" s="261"/>
      <c r="C138" s="323" t="s">
        <v>183</v>
      </c>
      <c r="D138" s="302"/>
      <c r="E138" s="302"/>
      <c r="F138" s="196" t="s">
        <v>162</v>
      </c>
      <c r="G138" s="32" t="s">
        <v>41</v>
      </c>
      <c r="H138" s="240">
        <f>8.2/(1.05+H137)</f>
        <v>70.964376267172625</v>
      </c>
      <c r="I138" s="219" t="s">
        <v>84</v>
      </c>
      <c r="K138" s="126"/>
    </row>
    <row r="139" spans="1:18" ht="18.75">
      <c r="A139" s="292"/>
      <c r="B139" s="261"/>
      <c r="C139" s="323" t="s">
        <v>184</v>
      </c>
      <c r="D139" s="302"/>
      <c r="E139" s="302"/>
      <c r="F139" s="196" t="s">
        <v>162</v>
      </c>
      <c r="G139" s="32" t="s">
        <v>41</v>
      </c>
      <c r="H139" s="240">
        <f>7.81-6.29*H137+9.78*H137^2</f>
        <v>22.227532267691942</v>
      </c>
      <c r="I139" s="219" t="s">
        <v>84</v>
      </c>
      <c r="K139" s="126"/>
    </row>
    <row r="140" spans="1:18" ht="18.75">
      <c r="A140" s="290"/>
      <c r="B140" s="291"/>
      <c r="C140" s="324" t="s">
        <v>185</v>
      </c>
      <c r="D140" s="325"/>
      <c r="E140" s="325"/>
      <c r="F140" s="196" t="s">
        <v>162</v>
      </c>
      <c r="G140" s="32" t="s">
        <v>41</v>
      </c>
      <c r="H140" s="240" t="s">
        <v>267</v>
      </c>
      <c r="I140" s="219" t="s">
        <v>84</v>
      </c>
      <c r="K140" s="126"/>
    </row>
    <row r="141" spans="1:18" ht="18.75">
      <c r="A141" s="290"/>
      <c r="B141" s="291"/>
      <c r="C141" s="314" t="s">
        <v>76</v>
      </c>
      <c r="D141" s="261"/>
      <c r="E141" s="261"/>
      <c r="F141" s="196" t="s">
        <v>162</v>
      </c>
      <c r="G141" s="32" t="s">
        <v>41</v>
      </c>
      <c r="H141" s="250">
        <f>IF(H137&gt;0,H138,IF(H137=0,H138,IF(H137&gt;-1,H139,IF(H137=-1,H139,IF(H137&gt;-3,H140,"Spanningsverhouding niet mogelijk")))))</f>
        <v>22.227532267691942</v>
      </c>
      <c r="I141" s="219" t="s">
        <v>84</v>
      </c>
      <c r="K141" s="126"/>
    </row>
    <row r="142" spans="1:18">
      <c r="A142" s="292"/>
      <c r="B142" s="261"/>
      <c r="C142" s="314"/>
      <c r="D142" s="261"/>
      <c r="E142" s="261"/>
      <c r="F142" s="196" t="s">
        <v>9</v>
      </c>
      <c r="G142" s="32" t="s">
        <v>41</v>
      </c>
      <c r="H142" s="234">
        <f>SQRT(235/$B7)</f>
        <v>0.81940745141142779</v>
      </c>
      <c r="I142" s="219" t="s">
        <v>63</v>
      </c>
      <c r="K142" s="126"/>
      <c r="N142" s="7"/>
      <c r="O142" s="2"/>
    </row>
    <row r="143" spans="1:18" ht="18" customHeight="1">
      <c r="A143" s="292"/>
      <c r="B143" s="261"/>
      <c r="C143" s="314"/>
      <c r="D143" s="261"/>
      <c r="E143" s="261"/>
      <c r="F143" s="196" t="s">
        <v>5</v>
      </c>
      <c r="G143" s="69" t="s">
        <v>3</v>
      </c>
      <c r="H143" s="102">
        <f>$B49</f>
        <v>245.65685424949237</v>
      </c>
      <c r="I143" s="217"/>
      <c r="K143" s="126"/>
      <c r="N143" s="6"/>
      <c r="O143" s="2"/>
    </row>
    <row r="144" spans="1:18">
      <c r="A144" s="292"/>
      <c r="B144" s="261"/>
      <c r="C144" s="289" t="s">
        <v>40</v>
      </c>
      <c r="D144" s="289"/>
      <c r="E144" s="289"/>
      <c r="F144" s="167"/>
      <c r="G144" s="32" t="s">
        <v>41</v>
      </c>
      <c r="H144" s="234">
        <f>(H143/$G7)/(28.4*H142*SQRT(H141))</f>
        <v>1.1195281465496971</v>
      </c>
      <c r="I144" s="219" t="s">
        <v>63</v>
      </c>
      <c r="K144" s="126"/>
      <c r="N144" s="6"/>
      <c r="O144" s="2"/>
    </row>
    <row r="145" spans="1:15">
      <c r="A145" s="290"/>
      <c r="B145" s="291"/>
      <c r="C145" s="289" t="s">
        <v>77</v>
      </c>
      <c r="D145" s="289"/>
      <c r="E145" s="289"/>
      <c r="F145" s="196" t="s">
        <v>10</v>
      </c>
      <c r="G145" s="32" t="s">
        <v>41</v>
      </c>
      <c r="H145" s="234">
        <f>IF(H144&gt;0.673,(H144-0.055*(3+H137))/POWER(H144,2),1)</f>
        <v>0.80259165105779717</v>
      </c>
      <c r="I145" s="219" t="s">
        <v>63</v>
      </c>
      <c r="K145" s="126"/>
      <c r="N145" s="6"/>
      <c r="O145" s="2"/>
    </row>
    <row r="146" spans="1:15">
      <c r="A146" s="290"/>
      <c r="B146" s="312"/>
      <c r="C146" s="289" t="s">
        <v>77</v>
      </c>
      <c r="D146" s="289"/>
      <c r="E146" s="289"/>
      <c r="F146" s="196" t="s">
        <v>258</v>
      </c>
      <c r="G146" s="32" t="s">
        <v>41</v>
      </c>
      <c r="H146" s="237">
        <f>IF(H145&gt;1,1,H145)</f>
        <v>0.80259165105779717</v>
      </c>
      <c r="I146" s="219" t="s">
        <v>63</v>
      </c>
      <c r="K146" s="126"/>
      <c r="N146" s="6"/>
      <c r="O146" s="2"/>
    </row>
    <row r="147" spans="1:15" ht="18.75">
      <c r="A147" s="290"/>
      <c r="B147" s="291"/>
      <c r="C147" s="289" t="s">
        <v>42</v>
      </c>
      <c r="D147" s="289"/>
      <c r="E147" s="289"/>
      <c r="F147" s="196" t="s">
        <v>22</v>
      </c>
      <c r="G147" s="69" t="s">
        <v>3</v>
      </c>
      <c r="H147" s="102">
        <f>H146*H136</f>
        <v>101.92159812881485</v>
      </c>
      <c r="I147" s="219" t="s">
        <v>84</v>
      </c>
      <c r="K147" s="126"/>
      <c r="N147" s="6"/>
      <c r="O147" s="2"/>
    </row>
    <row r="148" spans="1:15" ht="18.75">
      <c r="A148" s="290"/>
      <c r="B148" s="291"/>
      <c r="C148" s="289"/>
      <c r="D148" s="289"/>
      <c r="E148" s="289"/>
      <c r="F148" s="196" t="s">
        <v>163</v>
      </c>
      <c r="G148" s="69" t="s">
        <v>3</v>
      </c>
      <c r="H148" s="102">
        <f>0.4*H147</f>
        <v>40.76863925152594</v>
      </c>
      <c r="I148" s="219" t="s">
        <v>84</v>
      </c>
      <c r="K148" s="126"/>
      <c r="N148" s="2"/>
      <c r="O148" s="2"/>
    </row>
    <row r="149" spans="1:15" ht="18.75">
      <c r="A149" s="290"/>
      <c r="B149" s="291"/>
      <c r="C149" s="289"/>
      <c r="D149" s="289"/>
      <c r="E149" s="289"/>
      <c r="F149" s="196" t="s">
        <v>164</v>
      </c>
      <c r="G149" s="69" t="s">
        <v>3</v>
      </c>
      <c r="H149" s="102">
        <f>0.6*H147</f>
        <v>61.15295887728891</v>
      </c>
      <c r="I149" s="219" t="s">
        <v>84</v>
      </c>
      <c r="K149" s="126"/>
      <c r="N149" s="2"/>
      <c r="O149" s="2"/>
    </row>
    <row r="150" spans="1:15" ht="18.75">
      <c r="A150" s="290"/>
      <c r="B150" s="291"/>
      <c r="C150" s="289" t="s">
        <v>78</v>
      </c>
      <c r="D150" s="289"/>
      <c r="E150" s="289"/>
      <c r="F150" s="196" t="s">
        <v>186</v>
      </c>
      <c r="G150" s="69" t="s">
        <v>3</v>
      </c>
      <c r="H150" s="102">
        <f t="shared" ref="H150:H151" si="0">H148</f>
        <v>40.76863925152594</v>
      </c>
      <c r="I150" s="217"/>
      <c r="K150" s="188" t="s">
        <v>239</v>
      </c>
    </row>
    <row r="151" spans="1:15" ht="18.75">
      <c r="A151" s="290"/>
      <c r="B151" s="291"/>
      <c r="C151" s="289" t="s">
        <v>78</v>
      </c>
      <c r="D151" s="289"/>
      <c r="E151" s="289"/>
      <c r="F151" s="196" t="s">
        <v>187</v>
      </c>
      <c r="G151" s="69" t="s">
        <v>3</v>
      </c>
      <c r="H151" s="102">
        <f t="shared" si="0"/>
        <v>61.15295887728891</v>
      </c>
      <c r="I151" s="217"/>
      <c r="K151" s="188" t="s">
        <v>240</v>
      </c>
    </row>
    <row r="152" spans="1:15" ht="18.75">
      <c r="A152" s="290"/>
      <c r="B152" s="291"/>
      <c r="C152" s="289" t="s">
        <v>78</v>
      </c>
      <c r="D152" s="289"/>
      <c r="E152" s="289"/>
      <c r="F152" s="196" t="s">
        <v>188</v>
      </c>
      <c r="G152" s="69" t="s">
        <v>3</v>
      </c>
      <c r="H152" s="102">
        <f>H150+$B$38</f>
        <v>41.940212126779748</v>
      </c>
      <c r="I152" s="217"/>
      <c r="K152" s="188" t="s">
        <v>238</v>
      </c>
    </row>
    <row r="153" spans="1:15" ht="18.75">
      <c r="A153" s="290"/>
      <c r="B153" s="291"/>
      <c r="C153" s="289" t="s">
        <v>78</v>
      </c>
      <c r="D153" s="289"/>
      <c r="E153" s="289"/>
      <c r="F153" s="196" t="s">
        <v>114</v>
      </c>
      <c r="G153" s="69" t="s">
        <v>3</v>
      </c>
      <c r="H153" s="102">
        <f>H152-$B37</f>
        <v>37.940212126779748</v>
      </c>
      <c r="I153" s="217"/>
      <c r="K153" s="188" t="s">
        <v>241</v>
      </c>
    </row>
    <row r="154" spans="1:15" ht="19.5" thickBot="1">
      <c r="A154" s="321"/>
      <c r="B154" s="322"/>
      <c r="C154" s="317" t="s">
        <v>78</v>
      </c>
      <c r="D154" s="317"/>
      <c r="E154" s="317"/>
      <c r="F154" s="199" t="s">
        <v>115</v>
      </c>
      <c r="G154" s="62" t="s">
        <v>3</v>
      </c>
      <c r="H154" s="251">
        <f>H149</f>
        <v>61.15295887728891</v>
      </c>
      <c r="I154" s="218"/>
      <c r="K154" s="188" t="s">
        <v>242</v>
      </c>
    </row>
    <row r="155" spans="1:15" ht="15.75" thickBot="1">
      <c r="A155" s="223"/>
      <c r="B155" s="224"/>
      <c r="C155" s="221"/>
      <c r="D155" s="221"/>
      <c r="E155" s="221"/>
      <c r="F155" s="170"/>
      <c r="G155" s="6"/>
      <c r="H155" s="248"/>
      <c r="I155" s="218"/>
      <c r="K155" s="188"/>
    </row>
    <row r="156" spans="1:15" ht="15.75" thickBot="1">
      <c r="A156" s="282" t="s">
        <v>253</v>
      </c>
      <c r="B156" s="283"/>
      <c r="C156" s="283"/>
      <c r="D156" s="283"/>
      <c r="E156" s="283"/>
      <c r="F156" s="283"/>
      <c r="G156" s="283"/>
      <c r="H156" s="284"/>
      <c r="I156" s="218"/>
      <c r="K156" s="188"/>
    </row>
    <row r="157" spans="1:15" ht="18.75">
      <c r="A157" s="269" t="s">
        <v>53</v>
      </c>
      <c r="B157" s="270"/>
      <c r="C157" s="289" t="s">
        <v>43</v>
      </c>
      <c r="D157" s="289"/>
      <c r="E157" s="289"/>
      <c r="F157" s="203" t="s">
        <v>182</v>
      </c>
      <c r="G157" s="222" t="s">
        <v>57</v>
      </c>
      <c r="H157" s="67">
        <f>($G7*$F48)+(2*$B42)+($D48*$G7)+($G7*(H135-($B37-$B38)))+($G7*H154)+($G7*H153)+$B42+($H99*$G7)+$H126</f>
        <v>791.06811973543608</v>
      </c>
      <c r="I157" s="217"/>
      <c r="K157" s="188" t="s">
        <v>243</v>
      </c>
    </row>
    <row r="158" spans="1:15" ht="18.75">
      <c r="A158" s="269" t="s">
        <v>49</v>
      </c>
      <c r="B158" s="327"/>
      <c r="C158" s="326" t="s">
        <v>73</v>
      </c>
      <c r="D158" s="289"/>
      <c r="E158" s="289"/>
      <c r="F158" s="203" t="s">
        <v>113</v>
      </c>
      <c r="G158" s="222" t="s">
        <v>3</v>
      </c>
      <c r="H158" s="67">
        <f>((($G7*$F48)*($F46-(0.5*$F48)-(0.5*$G7)))+(2*($B42*($B37-$B40)))+(($G7*(H135-($B37-$B38)))*($B37+(0.5*(H135-($B37-$B38)))))+(($G7*H154)*($B38+H135+(0.5*H154)))+(($G7*H153)*($B47-$B37-(0.5*H153)))+($B42*($B47-($B37-$B40)))+(($H99*$G7)*$B47)+($H126*($B47-$H113)))/H157</f>
        <v>115.16750176047951</v>
      </c>
      <c r="I158" s="217"/>
      <c r="K158" s="188" t="s">
        <v>244</v>
      </c>
    </row>
    <row r="159" spans="1:15" ht="18.75">
      <c r="A159" s="290"/>
      <c r="B159" s="291"/>
      <c r="C159" s="289" t="s">
        <v>254</v>
      </c>
      <c r="D159" s="289"/>
      <c r="E159" s="289"/>
      <c r="F159" s="196" t="s">
        <v>116</v>
      </c>
      <c r="G159" s="222" t="s">
        <v>18</v>
      </c>
      <c r="H159" s="260">
        <f>((($D48*$G7)*POWER(H158,2)))+(2*($B41+($B42*POWER((H158-($B37-$B40)),2))))+(((1/12)*$G7*POWER($F48,3))+(($G7*$F48)*POWER((H158-($B37+(0.5*$F48))),2)))+($B41+($B42*POWER((($B47-H158)-($B37-$B40)),2)))+(((H99*$G7)*POWER(($B47-H158),2)))+(((H100*H127)*POWER(($B47-H158),2)))+($G41+($G42*POWER((($B47-H158)-($B37-$B40)),2)))+(((1/12)*H127*POWER(H112,3))+((H127*H112)*POWER((($B47-H158)-($G37+(0.5*H112))),2)))+(((1/12)*$G7*POWER((H135-($B37-$B38)),3))+(($G7*(H135-($B37-$B38)))*POWER((H158-($B37+((H135-($B37-$B38))/2))),2)))+(((1/12)*$G7*POWER(H153,3))+(($G7*H153)*POWER((($B47-H158)-($B37+(0.5*H153))),2)))+(((1/12)*$G7*POWER(H154,3))+(($G7*H154)*POWER((H158-($B37+((H135-($B37-$B38))+H154/2))),2)))</f>
        <v>7297574.8814922031</v>
      </c>
      <c r="I159" s="252"/>
      <c r="K159" s="188" t="s">
        <v>268</v>
      </c>
    </row>
    <row r="160" spans="1:15" ht="18.75">
      <c r="A160" s="290"/>
      <c r="B160" s="291"/>
      <c r="C160" s="289" t="s">
        <v>255</v>
      </c>
      <c r="D160" s="289"/>
      <c r="E160" s="289"/>
      <c r="F160" s="196" t="s">
        <v>117</v>
      </c>
      <c r="G160" s="222" t="s">
        <v>99</v>
      </c>
      <c r="H160" s="253">
        <f>H159/($B47-H158+($G7/2))</f>
        <v>54527.674350303976</v>
      </c>
      <c r="I160" s="217"/>
      <c r="L160" s="188" t="s">
        <v>236</v>
      </c>
    </row>
    <row r="161" spans="1:12" ht="19.5" thickBot="1">
      <c r="A161" s="321"/>
      <c r="B161" s="322"/>
      <c r="C161" s="317" t="s">
        <v>255</v>
      </c>
      <c r="D161" s="317"/>
      <c r="E161" s="317"/>
      <c r="F161" s="199" t="s">
        <v>118</v>
      </c>
      <c r="G161" s="225" t="s">
        <v>99</v>
      </c>
      <c r="H161" s="254">
        <f>H159/(H158+($G7/2))</f>
        <v>62819.418261561143</v>
      </c>
      <c r="I161" s="217"/>
      <c r="L161" s="188" t="s">
        <v>237</v>
      </c>
    </row>
    <row r="162" spans="1:12" ht="18.75">
      <c r="F162" s="106"/>
      <c r="I162" s="217"/>
      <c r="L162" s="188" t="s">
        <v>245</v>
      </c>
    </row>
    <row r="163" spans="1:12" ht="18.75">
      <c r="C163" s="99"/>
      <c r="D163" s="99"/>
      <c r="E163" s="99"/>
      <c r="F163" s="106"/>
      <c r="G163" s="106"/>
      <c r="H163" s="143"/>
      <c r="I163" s="7"/>
      <c r="J163" s="7"/>
      <c r="K163" s="188" t="s">
        <v>246</v>
      </c>
    </row>
    <row r="164" spans="1:12" ht="18.75">
      <c r="C164" s="99"/>
      <c r="D164" s="99"/>
      <c r="E164" s="99"/>
      <c r="F164" s="106"/>
      <c r="G164" s="106"/>
      <c r="H164" s="47"/>
      <c r="I164" s="7"/>
      <c r="J164" s="7"/>
      <c r="K164" s="188" t="s">
        <v>247</v>
      </c>
    </row>
    <row r="165" spans="1:12">
      <c r="I165" s="217"/>
    </row>
    <row r="166" spans="1:12">
      <c r="F166" s="106"/>
      <c r="G166" s="131"/>
      <c r="H166" s="131"/>
      <c r="I166" s="131"/>
    </row>
    <row r="167" spans="1:12">
      <c r="F167" s="131"/>
      <c r="G167" s="130"/>
      <c r="H167" s="131"/>
      <c r="I167" s="131"/>
    </row>
    <row r="168" spans="1:12">
      <c r="G168" s="2"/>
      <c r="I168" s="131"/>
    </row>
    <row r="169" spans="1:12">
      <c r="G169" s="2"/>
      <c r="I169" s="131"/>
    </row>
    <row r="170" spans="1:12">
      <c r="G170" s="2"/>
      <c r="I170" s="131"/>
    </row>
    <row r="171" spans="1:12">
      <c r="G171" s="2"/>
      <c r="I171" s="131"/>
      <c r="J171" s="2"/>
      <c r="K171" s="2"/>
    </row>
    <row r="172" spans="1:12">
      <c r="I172" s="130"/>
      <c r="J172" s="2"/>
      <c r="K172" s="2"/>
    </row>
    <row r="173" spans="1:12">
      <c r="I173" s="131"/>
    </row>
    <row r="174" spans="1:12">
      <c r="I174" s="131"/>
    </row>
    <row r="175" spans="1:12">
      <c r="I175" s="131"/>
    </row>
    <row r="176" spans="1:12">
      <c r="I176" s="131"/>
    </row>
    <row r="177" spans="9:12">
      <c r="I177" s="131"/>
    </row>
    <row r="181" spans="9:12">
      <c r="I181" s="2"/>
      <c r="K181" s="2"/>
      <c r="L181" s="2"/>
    </row>
  </sheetData>
  <mergeCells count="157">
    <mergeCell ref="C145:E145"/>
    <mergeCell ref="A152:B152"/>
    <mergeCell ref="C152:E152"/>
    <mergeCell ref="A148:B148"/>
    <mergeCell ref="C148:E148"/>
    <mergeCell ref="A149:B149"/>
    <mergeCell ref="C149:E149"/>
    <mergeCell ref="A161:B161"/>
    <mergeCell ref="C161:E161"/>
    <mergeCell ref="A158:B158"/>
    <mergeCell ref="C158:E158"/>
    <mergeCell ref="C160:E160"/>
    <mergeCell ref="A160:B160"/>
    <mergeCell ref="C151:E151"/>
    <mergeCell ref="A159:B159"/>
    <mergeCell ref="C159:E159"/>
    <mergeCell ref="A153:B153"/>
    <mergeCell ref="C153:E153"/>
    <mergeCell ref="A154:B154"/>
    <mergeCell ref="C154:E154"/>
    <mergeCell ref="A157:B157"/>
    <mergeCell ref="C157:E157"/>
    <mergeCell ref="A150:B150"/>
    <mergeCell ref="C150:E150"/>
    <mergeCell ref="A151:B151"/>
    <mergeCell ref="C146:E146"/>
    <mergeCell ref="A147:B147"/>
    <mergeCell ref="C147:E147"/>
    <mergeCell ref="C122:E122"/>
    <mergeCell ref="C134:E134"/>
    <mergeCell ref="A135:B135"/>
    <mergeCell ref="C135:E135"/>
    <mergeCell ref="A136:B136"/>
    <mergeCell ref="C138:E138"/>
    <mergeCell ref="A139:B139"/>
    <mergeCell ref="C139:E139"/>
    <mergeCell ref="A146:B146"/>
    <mergeCell ref="A140:B140"/>
    <mergeCell ref="C140:E140"/>
    <mergeCell ref="C136:E136"/>
    <mergeCell ref="A137:B137"/>
    <mergeCell ref="C137:E137"/>
    <mergeCell ref="A138:B138"/>
    <mergeCell ref="A141:B141"/>
    <mergeCell ref="C141:E141"/>
    <mergeCell ref="A142:B142"/>
    <mergeCell ref="C142:E142"/>
    <mergeCell ref="A143:B143"/>
    <mergeCell ref="C143:E143"/>
    <mergeCell ref="A144:B144"/>
    <mergeCell ref="C144:E144"/>
    <mergeCell ref="A145:B145"/>
    <mergeCell ref="A131:B131"/>
    <mergeCell ref="C131:E131"/>
    <mergeCell ref="A118:B118"/>
    <mergeCell ref="C118:E118"/>
    <mergeCell ref="A119:B119"/>
    <mergeCell ref="C119:E119"/>
    <mergeCell ref="A120:B120"/>
    <mergeCell ref="C120:E120"/>
    <mergeCell ref="A124:B124"/>
    <mergeCell ref="C124:E124"/>
    <mergeCell ref="A125:B125"/>
    <mergeCell ref="C125:E125"/>
    <mergeCell ref="A127:B127"/>
    <mergeCell ref="C127:E127"/>
    <mergeCell ref="C126:E126"/>
    <mergeCell ref="A121:B121"/>
    <mergeCell ref="C121:E121"/>
    <mergeCell ref="A123:B123"/>
    <mergeCell ref="C123:E123"/>
    <mergeCell ref="A126:B126"/>
    <mergeCell ref="A130:B130"/>
    <mergeCell ref="C130:E130"/>
    <mergeCell ref="A122:B122"/>
    <mergeCell ref="A109:B109"/>
    <mergeCell ref="C109:E109"/>
    <mergeCell ref="A110:B110"/>
    <mergeCell ref="C110:E110"/>
    <mergeCell ref="A114:B114"/>
    <mergeCell ref="C114:E114"/>
    <mergeCell ref="A129:H129"/>
    <mergeCell ref="A117:B117"/>
    <mergeCell ref="C117:E117"/>
    <mergeCell ref="A116:B116"/>
    <mergeCell ref="C116:E116"/>
    <mergeCell ref="A111:B111"/>
    <mergeCell ref="C111:E111"/>
    <mergeCell ref="A112:B112"/>
    <mergeCell ref="C112:E112"/>
    <mergeCell ref="A113:B113"/>
    <mergeCell ref="C113:E113"/>
    <mergeCell ref="A108:B108"/>
    <mergeCell ref="C108:E108"/>
    <mergeCell ref="A115:B115"/>
    <mergeCell ref="C115:E115"/>
    <mergeCell ref="A103:B103"/>
    <mergeCell ref="C103:E103"/>
    <mergeCell ref="A104:B104"/>
    <mergeCell ref="C104:E104"/>
    <mergeCell ref="A106:B106"/>
    <mergeCell ref="C106:E106"/>
    <mergeCell ref="A107:B107"/>
    <mergeCell ref="C107:E107"/>
    <mergeCell ref="A105:B105"/>
    <mergeCell ref="C105:E105"/>
    <mergeCell ref="A100:B100"/>
    <mergeCell ref="C100:E100"/>
    <mergeCell ref="A101:B101"/>
    <mergeCell ref="C101:E101"/>
    <mergeCell ref="A102:B102"/>
    <mergeCell ref="C102:E102"/>
    <mergeCell ref="A98:B98"/>
    <mergeCell ref="C98:E98"/>
    <mergeCell ref="A99:B99"/>
    <mergeCell ref="C99:E99"/>
    <mergeCell ref="C85:E85"/>
    <mergeCell ref="A86:B86"/>
    <mergeCell ref="C86:E86"/>
    <mergeCell ref="A87:B87"/>
    <mergeCell ref="C87:E87"/>
    <mergeCell ref="A96:B96"/>
    <mergeCell ref="C96:E96"/>
    <mergeCell ref="A97:B97"/>
    <mergeCell ref="C97:E97"/>
    <mergeCell ref="A91:B91"/>
    <mergeCell ref="C91:E91"/>
    <mergeCell ref="A94:B94"/>
    <mergeCell ref="C94:E94"/>
    <mergeCell ref="A95:B95"/>
    <mergeCell ref="C95:E95"/>
    <mergeCell ref="A93:B93"/>
    <mergeCell ref="C93:E93"/>
    <mergeCell ref="A156:H156"/>
    <mergeCell ref="C84:E84"/>
    <mergeCell ref="J4:L4"/>
    <mergeCell ref="J5:L5"/>
    <mergeCell ref="J6:L6"/>
    <mergeCell ref="J7:L7"/>
    <mergeCell ref="J9:L9"/>
    <mergeCell ref="A15:C15"/>
    <mergeCell ref="F21:I21"/>
    <mergeCell ref="A28:B28"/>
    <mergeCell ref="F28:I29"/>
    <mergeCell ref="A29:B29"/>
    <mergeCell ref="A16:B16"/>
    <mergeCell ref="A17:B17"/>
    <mergeCell ref="A18:B18"/>
    <mergeCell ref="A89:B89"/>
    <mergeCell ref="C89:E89"/>
    <mergeCell ref="A92:B92"/>
    <mergeCell ref="C92:E92"/>
    <mergeCell ref="A90:B90"/>
    <mergeCell ref="C90:E90"/>
    <mergeCell ref="A88:B88"/>
    <mergeCell ref="C88:E88"/>
    <mergeCell ref="A85:B85"/>
  </mergeCells>
  <phoneticPr fontId="27" type="noConversion"/>
  <conditionalFormatting sqref="H141 H86">
    <cfRule type="containsText" dxfId="69" priority="18" operator="containsText" text="Spanningsverhouding niet mogelijk">
      <formula>NOT(ISERROR(SEARCH("Spanningsverhouding niet mogelijk",H86)))</formula>
    </cfRule>
  </conditionalFormatting>
  <conditionalFormatting sqref="F13:F14">
    <cfRule type="cellIs" dxfId="68" priority="32" operator="equal">
      <formula>"Voldoet niet"</formula>
    </cfRule>
    <cfRule type="cellIs" dxfId="67" priority="33" operator="equal">
      <formula>"Voldoet"</formula>
    </cfRule>
    <cfRule type="cellIs" priority="34" operator="equal">
      <formula>"Voldoet"</formula>
    </cfRule>
  </conditionalFormatting>
  <conditionalFormatting sqref="F21">
    <cfRule type="cellIs" dxfId="66" priority="31" operator="equal">
      <formula>"Lip moet mee genomen worden in berekening"</formula>
    </cfRule>
  </conditionalFormatting>
  <conditionalFormatting sqref="F21 L18:L20">
    <cfRule type="cellIs" dxfId="65" priority="29" operator="equal">
      <formula>"Lip moet niet meegenomen worden in berekening"</formula>
    </cfRule>
    <cfRule type="cellIs" dxfId="64" priority="30" operator="equal">
      <formula>"Lip moet mee genomen worden in berekening"</formula>
    </cfRule>
  </conditionalFormatting>
  <conditionalFormatting sqref="H18:H20 F16:F20 H15:H16">
    <cfRule type="cellIs" dxfId="63" priority="27" operator="equal">
      <formula>"Voldoet niet"</formula>
    </cfRule>
    <cfRule type="cellIs" dxfId="62" priority="28" operator="equal">
      <formula>"Voldoet"</formula>
    </cfRule>
  </conditionalFormatting>
  <conditionalFormatting sqref="F24:F25">
    <cfRule type="cellIs" dxfId="61" priority="26" operator="equal">
      <formula>"Voldoet"</formula>
    </cfRule>
  </conditionalFormatting>
  <conditionalFormatting sqref="F24:F25">
    <cfRule type="cellIs" dxfId="60" priority="25" operator="equal">
      <formula>"Voldoet niet"</formula>
    </cfRule>
  </conditionalFormatting>
  <conditionalFormatting sqref="F29:F35">
    <cfRule type="cellIs" dxfId="59" priority="23" operator="equal">
      <formula>"Invloed afrondingsstralen mag worden genegeerd"</formula>
    </cfRule>
    <cfRule type="cellIs" dxfId="58" priority="24" operator="equal">
      <formula>"Invloed afrondingsstralen mag niet worden genegeerd"</formula>
    </cfRule>
  </conditionalFormatting>
  <conditionalFormatting sqref="F21">
    <cfRule type="cellIs" dxfId="57" priority="21" operator="equal">
      <formula>"Lip moet niet meegenomen worden in ber."</formula>
    </cfRule>
    <cfRule type="cellIs" dxfId="56" priority="22" operator="equal">
      <formula>"Lip moet meegenomen worden in ber."</formula>
    </cfRule>
  </conditionalFormatting>
  <conditionalFormatting sqref="I35 F29:H35 I29:I33">
    <cfRule type="cellIs" dxfId="55" priority="19" operator="equal">
      <formula>"Invl afrondingsstralen mag worden genegeerd"</formula>
    </cfRule>
    <cfRule type="cellIs" dxfId="54" priority="20" operator="equal">
      <formula>"Invl. Afrondingsstralen mag niet worden genegeerd"</formula>
    </cfRule>
  </conditionalFormatting>
  <conditionalFormatting sqref="F28">
    <cfRule type="cellIs" dxfId="53" priority="17" operator="equal">
      <formula>"Invloed afrondingsstralen mag worden genegeerd"</formula>
    </cfRule>
  </conditionalFormatting>
  <conditionalFormatting sqref="F28">
    <cfRule type="cellIs" dxfId="52" priority="16" operator="equal">
      <formula>"Invloeg afrondingsstralen mag niet worden genegeerd"</formula>
    </cfRule>
  </conditionalFormatting>
  <conditionalFormatting sqref="F28:I28">
    <cfRule type="cellIs" dxfId="51" priority="13" operator="equal">
      <formula>"Invl afrondingsstralen mag niet worden genegeerd"</formula>
    </cfRule>
    <cfRule type="cellIs" dxfId="50" priority="14" operator="equal">
      <formula>"Invl. Afrondingsstralen mag niet worden genegeerd"</formula>
    </cfRule>
    <cfRule type="cellIs" dxfId="49" priority="15" operator="equal">
      <formula>"Invl. Afrondingsstralen mag worden genegeerd"</formula>
    </cfRule>
  </conditionalFormatting>
  <conditionalFormatting sqref="J4:L4">
    <cfRule type="cellIs" dxfId="48" priority="11" operator="equal">
      <formula>"Hoogte is kleiner dan 2x de dikte"</formula>
    </cfRule>
    <cfRule type="cellIs" dxfId="47" priority="12" operator="equal">
      <formula>"Hoogte is ten minste gelijk aan 2x de dikte"</formula>
    </cfRule>
  </conditionalFormatting>
  <conditionalFormatting sqref="J5:L5">
    <cfRule type="cellIs" dxfId="46" priority="9" operator="equal">
      <formula>"Breedte is kleiner dan 2x de dikte"</formula>
    </cfRule>
    <cfRule type="cellIs" dxfId="45" priority="10" operator="equal">
      <formula>"Breedte is ten minste gelijk aan 2x de dikte"</formula>
    </cfRule>
  </conditionalFormatting>
  <conditionalFormatting sqref="J6:L6">
    <cfRule type="cellIs" dxfId="44" priority="7" operator="equal">
      <formula>"Lip is groter dan de halve profielhoogte"</formula>
    </cfRule>
    <cfRule type="cellIs" dxfId="43" priority="8" operator="equal">
      <formula>"Lip is kleiner of gelijk aan halve profielhoogte"</formula>
    </cfRule>
  </conditionalFormatting>
  <conditionalFormatting sqref="J7:L7">
    <cfRule type="cellIs" dxfId="42" priority="5" operator="equal">
      <formula>"Enkele profielmaten zijn negatief"</formula>
    </cfRule>
    <cfRule type="cellIs" dxfId="41" priority="6" operator="equal">
      <formula>"Alle effectieve profielmaten zijn positief"</formula>
    </cfRule>
  </conditionalFormatting>
  <conditionalFormatting sqref="J9:L9">
    <cfRule type="cellIs" dxfId="40" priority="3" operator="equal">
      <formula>"Profiel fysisch niet mogelijk"</formula>
    </cfRule>
    <cfRule type="cellIs" dxfId="39" priority="4" operator="equal">
      <formula>"Profiel fysisch mogelijk"</formula>
    </cfRule>
  </conditionalFormatting>
  <conditionalFormatting sqref="F21:I21">
    <cfRule type="cellIs" dxfId="38" priority="1" operator="equal">
      <formula>"Lip moet niet meegenomen worden in berekening"</formula>
    </cfRule>
    <cfRule type="cellIs" dxfId="37" priority="2" operator="equal">
      <formula>"lip moet meegenomen worden in berekening"</formula>
    </cfRule>
  </conditionalFormatting>
  <pageMargins left="0.35433070866141736" right="0.35433070866141736" top="7.874015748031496E-2" bottom="7.874015748031496E-2" header="0.31496062992125984" footer="0.31496062992125984"/>
  <pageSetup paperSize="9" orientation="landscape" r:id="rId1"/>
  <drawing r:id="rId2"/>
  <legacyDrawing r:id="rId3"/>
  <oleObjects>
    <oleObject progId="Word.Document.12" shapeId="1025" r:id="rId4"/>
    <oleObject progId="Equation.3" shapeId="1030" r:id="rId5"/>
    <oleObject progId="Equation.3" shapeId="1032" r:id="rId6"/>
    <oleObject progId="Equation.3" shapeId="1033" r:id="rId7"/>
    <oleObject progId="Equation.3" shapeId="1034" r:id="rId8"/>
    <oleObject progId="Equation.3" shapeId="1035" r:id="rId9"/>
    <oleObject progId="Equation.3" shapeId="1036" r:id="rId10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Input,output</vt:lpstr>
      <vt:lpstr>Profieleigenschappen</vt:lpstr>
      <vt:lpstr>Berekening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Monique</cp:lastModifiedBy>
  <cp:lastPrinted>2009-06-08T14:59:15Z</cp:lastPrinted>
  <dcterms:created xsi:type="dcterms:W3CDTF">2009-01-30T09:46:19Z</dcterms:created>
  <dcterms:modified xsi:type="dcterms:W3CDTF">2010-02-15T13:07:49Z</dcterms:modified>
</cp:coreProperties>
</file>