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1130" windowHeight="11640"/>
  </bookViews>
  <sheets>
    <sheet name="Input &amp; output" sheetId="7" r:id="rId1"/>
    <sheet name="Profieleigenschappen" sheetId="1" r:id="rId2"/>
    <sheet name="Berekening" sheetId="10" r:id="rId3"/>
  </sheets>
  <definedNames>
    <definedName name="_xlnm.Print_Area" localSheetId="2">Berekening!$A$1:$W$116</definedName>
    <definedName name="_xlnm.Print_Area" localSheetId="0">'Input &amp; output'!$A$1:$N$53</definedName>
    <definedName name="_xlnm.Print_Area" localSheetId="1">Profieleigenschappen!$A$1:$Y$53</definedName>
    <definedName name="_xlnm.Print_Titles" localSheetId="2">Berekening!$1:$2</definedName>
    <definedName name="_xlnm.Print_Titles" localSheetId="0">'Input &amp; output'!$1:$2</definedName>
    <definedName name="_xlnm.Print_Titles" localSheetId="1">Profieleigenschappen!$1:$1</definedName>
    <definedName name="dfs" localSheetId="2">Berekening!#REF!</definedName>
    <definedName name="dfs" localSheetId="0">'Input &amp; output'!#REF!</definedName>
    <definedName name="dfs">Profieleigenschappen!#REF!</definedName>
  </definedNames>
  <calcPr calcId="125725"/>
</workbook>
</file>

<file path=xl/calcChain.xml><?xml version="1.0" encoding="utf-8"?>
<calcChain xmlns="http://schemas.openxmlformats.org/spreadsheetml/2006/main">
  <c r="G8" i="10"/>
  <c r="G6" i="1"/>
  <c r="F27" s="1"/>
  <c r="G4"/>
  <c r="B27" s="1"/>
  <c r="F20" i="7"/>
  <c r="F19"/>
  <c r="B7" i="1"/>
  <c r="B7" i="10"/>
  <c r="H63" s="1"/>
  <c r="B9"/>
  <c r="B8"/>
  <c r="G7"/>
  <c r="G6"/>
  <c r="B6"/>
  <c r="G5"/>
  <c r="G4"/>
  <c r="B4"/>
  <c r="B4" i="1"/>
  <c r="G7"/>
  <c r="G5"/>
  <c r="D27" s="1"/>
  <c r="B6"/>
  <c r="B8"/>
  <c r="B9"/>
  <c r="F15" i="7"/>
  <c r="H15" s="1"/>
  <c r="F18"/>
  <c r="H18" s="1"/>
  <c r="F16"/>
  <c r="H16" s="1"/>
  <c r="F17"/>
  <c r="H17" s="1"/>
  <c r="G22"/>
  <c r="G8" i="1"/>
  <c r="C14" s="1"/>
  <c r="E22" i="7"/>
  <c r="H19"/>
  <c r="B5" i="1" l="1"/>
  <c r="J6"/>
  <c r="H22" i="7"/>
  <c r="F28" i="1"/>
  <c r="A52" i="7"/>
  <c r="D23" i="10"/>
  <c r="D24" s="1"/>
  <c r="B5"/>
  <c r="H88"/>
  <c r="B23"/>
  <c r="B24" s="1"/>
  <c r="E33" s="1"/>
  <c r="I4" i="1"/>
  <c r="B36"/>
  <c r="B28"/>
  <c r="E37" s="1"/>
  <c r="B35"/>
  <c r="E13"/>
  <c r="D28"/>
  <c r="B14" i="10"/>
  <c r="B18" s="1"/>
  <c r="I5" i="1"/>
  <c r="I6"/>
  <c r="J5"/>
  <c r="B32" i="10"/>
  <c r="B33"/>
  <c r="J4" i="1"/>
  <c r="B18"/>
  <c r="F23" i="10"/>
  <c r="F24" s="1"/>
  <c r="B31"/>
  <c r="B23" i="1"/>
  <c r="C13"/>
  <c r="B19" i="10"/>
  <c r="B37" i="1" l="1"/>
  <c r="B34" i="10"/>
  <c r="B36" s="1"/>
  <c r="D29" i="1"/>
  <c r="A24"/>
  <c r="A42"/>
  <c r="D25" i="10"/>
  <c r="F15"/>
  <c r="B15"/>
  <c r="D26" s="1"/>
  <c r="H89" s="1"/>
  <c r="B16"/>
  <c r="B38" i="1"/>
  <c r="B40" s="1"/>
  <c r="B17" i="10"/>
  <c r="B25"/>
  <c r="F25"/>
  <c r="B22" i="1"/>
  <c r="F29"/>
  <c r="B29"/>
  <c r="B21"/>
  <c r="B20"/>
  <c r="B19"/>
  <c r="F46" i="7" l="1"/>
  <c r="E34" i="10"/>
  <c r="B26"/>
  <c r="H64" s="1"/>
  <c r="H65" s="1"/>
  <c r="H66" s="1"/>
  <c r="H67" s="1"/>
  <c r="F26"/>
  <c r="E38" i="1"/>
  <c r="E31" i="10"/>
  <c r="E32" s="1"/>
  <c r="F30" i="1"/>
  <c r="B30"/>
  <c r="D30"/>
  <c r="E35"/>
  <c r="E14" l="1"/>
  <c r="E40"/>
  <c r="E36"/>
  <c r="E39" s="1"/>
  <c r="E41" s="1"/>
  <c r="H69" i="10"/>
  <c r="H71" s="1"/>
  <c r="H73" s="1"/>
  <c r="H75" s="1"/>
  <c r="F40" i="7" s="1"/>
  <c r="B35" i="10"/>
  <c r="B37" s="1"/>
  <c r="E35"/>
  <c r="E37" s="1"/>
  <c r="E36"/>
  <c r="A9" i="7" l="1"/>
  <c r="F13" i="1"/>
  <c r="A10" i="7"/>
  <c r="B39" i="1"/>
  <c r="B41" s="1"/>
  <c r="H68" i="10"/>
  <c r="H70" s="1"/>
  <c r="H72" s="1"/>
  <c r="H74" s="1"/>
  <c r="H78" l="1"/>
  <c r="H79" s="1"/>
  <c r="F39" i="7"/>
  <c r="H94" i="10" l="1"/>
  <c r="H92" s="1"/>
  <c r="B39" i="7"/>
  <c r="B42" l="1"/>
  <c r="H83" i="10"/>
  <c r="H93"/>
  <c r="F44" i="7" s="1"/>
  <c r="B41"/>
  <c r="H86" i="10" l="1"/>
  <c r="H87" s="1"/>
  <c r="H90" s="1"/>
  <c r="H91" s="1"/>
  <c r="H95" s="1"/>
  <c r="H84"/>
  <c r="B43" i="7"/>
  <c r="H85" i="10"/>
  <c r="H97" l="1"/>
  <c r="H99" s="1"/>
  <c r="H96" l="1"/>
  <c r="H98" s="1"/>
  <c r="H100" l="1"/>
  <c r="H101" s="1"/>
  <c r="H102"/>
  <c r="H106" l="1"/>
  <c r="H107" s="1"/>
  <c r="H110" s="1"/>
  <c r="F42" i="7"/>
  <c r="F43"/>
  <c r="J7" i="1" l="1"/>
  <c r="I7"/>
  <c r="B45" i="7"/>
  <c r="H111" i="10"/>
  <c r="H108"/>
  <c r="H109"/>
  <c r="H112" l="1"/>
  <c r="A12" i="7"/>
  <c r="A50" s="1"/>
  <c r="J9" i="1"/>
  <c r="H113" i="10" l="1"/>
  <c r="B47" i="7" s="1"/>
  <c r="H114" i="10"/>
  <c r="B48" i="7" s="1"/>
  <c r="B46"/>
</calcChain>
</file>

<file path=xl/sharedStrings.xml><?xml version="1.0" encoding="utf-8"?>
<sst xmlns="http://schemas.openxmlformats.org/spreadsheetml/2006/main" count="498" uniqueCount="294">
  <si>
    <t>Karakteristieken afrondingsstraal</t>
  </si>
  <si>
    <t>r</t>
  </si>
  <si>
    <t>t</t>
  </si>
  <si>
    <t>mm</t>
  </si>
  <si>
    <t>h</t>
  </si>
  <si>
    <t>b</t>
  </si>
  <si>
    <t>c</t>
  </si>
  <si>
    <t>Profielafmetingen</t>
  </si>
  <si>
    <t>mm²</t>
  </si>
  <si>
    <t>ε</t>
  </si>
  <si>
    <t>ρ</t>
  </si>
  <si>
    <t>ψ</t>
  </si>
  <si>
    <t>Materiaaleigenschappen</t>
  </si>
  <si>
    <t>E</t>
  </si>
  <si>
    <t>G</t>
  </si>
  <si>
    <t>N/mm²</t>
  </si>
  <si>
    <t>Eigenschappen effectieve doorsnede</t>
  </si>
  <si>
    <r>
      <t>γ</t>
    </r>
    <r>
      <rPr>
        <vertAlign val="subscript"/>
        <sz val="11"/>
        <color indexed="8"/>
        <rFont val="Arial"/>
        <family val="2"/>
      </rPr>
      <t>M 0</t>
    </r>
  </si>
  <si>
    <r>
      <t>γ</t>
    </r>
    <r>
      <rPr>
        <vertAlign val="subscript"/>
        <sz val="11"/>
        <color indexed="8"/>
        <rFont val="Arial"/>
        <family val="2"/>
      </rPr>
      <t>M 1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</si>
  <si>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</si>
  <si>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r>
      <t>y</t>
    </r>
    <r>
      <rPr>
        <i/>
        <vertAlign val="subscript"/>
        <sz val="11"/>
        <color indexed="8"/>
        <rFont val="Arial"/>
        <family val="2"/>
      </rPr>
      <t>g ,sh</t>
    </r>
  </si>
  <si>
    <t>OUTPUT</t>
  </si>
  <si>
    <t>INPUT</t>
  </si>
  <si>
    <r>
      <t>r</t>
    </r>
    <r>
      <rPr>
        <vertAlign val="subscript"/>
        <sz val="11"/>
        <color indexed="8"/>
        <rFont val="Arial"/>
        <family val="2"/>
      </rPr>
      <t>m</t>
    </r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</si>
  <si>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</si>
  <si>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e</t>
    </r>
    <r>
      <rPr>
        <vertAlign val="subscript"/>
        <sz val="11"/>
        <color indexed="8"/>
        <rFont val="Arial"/>
        <family val="2"/>
      </rPr>
      <t>rc</t>
    </r>
  </si>
  <si>
    <r>
      <t>I</t>
    </r>
    <r>
      <rPr>
        <vertAlign val="subscript"/>
        <sz val="11"/>
        <color indexed="8"/>
        <rFont val="Arial"/>
        <family val="2"/>
      </rPr>
      <t>rc</t>
    </r>
  </si>
  <si>
    <r>
      <t>b</t>
    </r>
    <r>
      <rPr>
        <i/>
        <vertAlign val="subscript"/>
        <sz val="11"/>
        <color indexed="8"/>
        <rFont val="Arial"/>
        <family val="2"/>
      </rPr>
      <t>eff</t>
    </r>
  </si>
  <si>
    <r>
      <t>z</t>
    </r>
    <r>
      <rPr>
        <i/>
        <vertAlign val="subscript"/>
        <sz val="11"/>
        <color indexed="8"/>
        <rFont val="Arial"/>
        <family val="2"/>
      </rPr>
      <t>g ,sh</t>
    </r>
  </si>
  <si>
    <t>Rechte hoeken</t>
  </si>
  <si>
    <t>Met afronding</t>
  </si>
  <si>
    <t>Afgeleide profielmaten [mm]</t>
  </si>
  <si>
    <t>Voorwaarde voor de berekening</t>
  </si>
  <si>
    <t>Plaatdikte</t>
  </si>
  <si>
    <t>Geometrie van profiel</t>
  </si>
  <si>
    <t>c/t</t>
  </si>
  <si>
    <t>h/t</t>
  </si>
  <si>
    <t>plaatdeel 1</t>
  </si>
  <si>
    <t>plaatdeel 2</t>
  </si>
  <si>
    <t>b/t</t>
  </si>
  <si>
    <r>
      <t xml:space="preserve">Profieleigenschappen </t>
    </r>
    <r>
      <rPr>
        <b/>
        <u/>
        <sz val="14"/>
        <color indexed="8"/>
        <rFont val="Arial"/>
        <family val="2"/>
      </rPr>
      <t>niet gereduceerde</t>
    </r>
    <r>
      <rPr>
        <b/>
        <sz val="14"/>
        <color indexed="8"/>
        <rFont val="Arial"/>
        <family val="2"/>
      </rPr>
      <t xml:space="preserve"> dwarsdoorsnede</t>
    </r>
  </si>
  <si>
    <t>Afrondingsstraal wel of niet in rekening brengen?</t>
  </si>
  <si>
    <t>≤</t>
  </si>
  <si>
    <t>Eenheid</t>
  </si>
  <si>
    <t>Plaatdeel 1</t>
  </si>
  <si>
    <t>plaat slankheid</t>
  </si>
  <si>
    <t>--</t>
  </si>
  <si>
    <t>effectieve breedte</t>
  </si>
  <si>
    <t>effectief oppervlak</t>
  </si>
  <si>
    <t>dwarsdoorsnede</t>
  </si>
  <si>
    <t>Symbool</t>
  </si>
  <si>
    <t>Parameter</t>
  </si>
  <si>
    <t>Onderdeel</t>
  </si>
  <si>
    <t>Effectieve</t>
  </si>
  <si>
    <r>
      <t>h</t>
    </r>
    <r>
      <rPr>
        <vertAlign val="subscript"/>
        <sz val="12"/>
        <color indexed="8"/>
        <rFont val="Arial"/>
        <family val="2"/>
      </rPr>
      <t>m</t>
    </r>
  </si>
  <si>
    <r>
      <t>b</t>
    </r>
    <r>
      <rPr>
        <vertAlign val="subscript"/>
        <sz val="12"/>
        <color indexed="8"/>
        <rFont val="Arial"/>
        <family val="2"/>
      </rPr>
      <t>m</t>
    </r>
  </si>
  <si>
    <r>
      <t>c</t>
    </r>
    <r>
      <rPr>
        <vertAlign val="subscript"/>
        <sz val="12"/>
        <color indexed="8"/>
        <rFont val="Arial"/>
        <family val="2"/>
      </rPr>
      <t>m</t>
    </r>
  </si>
  <si>
    <r>
      <t>h</t>
    </r>
    <r>
      <rPr>
        <vertAlign val="subscript"/>
        <sz val="12"/>
        <color indexed="8"/>
        <rFont val="Arial"/>
        <family val="2"/>
      </rPr>
      <t>v</t>
    </r>
  </si>
  <si>
    <r>
      <t>b</t>
    </r>
    <r>
      <rPr>
        <vertAlign val="subscript"/>
        <sz val="12"/>
        <color indexed="8"/>
        <rFont val="Arial"/>
        <family val="2"/>
      </rPr>
      <t>v</t>
    </r>
  </si>
  <si>
    <r>
      <t>c</t>
    </r>
    <r>
      <rPr>
        <vertAlign val="subscript"/>
        <sz val="12"/>
        <color indexed="8"/>
        <rFont val="Arial"/>
        <family val="2"/>
      </rPr>
      <t>v</t>
    </r>
  </si>
  <si>
    <r>
      <t>h</t>
    </r>
    <r>
      <rPr>
        <vertAlign val="subscript"/>
        <sz val="12"/>
        <color indexed="8"/>
        <rFont val="Arial"/>
        <family val="2"/>
      </rPr>
      <t>p</t>
    </r>
  </si>
  <si>
    <r>
      <t>b</t>
    </r>
    <r>
      <rPr>
        <vertAlign val="subscript"/>
        <sz val="12"/>
        <color indexed="8"/>
        <rFont val="Arial"/>
        <family val="2"/>
      </rPr>
      <t>p</t>
    </r>
  </si>
  <si>
    <r>
      <t>c</t>
    </r>
    <r>
      <rPr>
        <vertAlign val="subscript"/>
        <sz val="12"/>
        <color indexed="8"/>
        <rFont val="Arial"/>
        <family val="2"/>
      </rPr>
      <t>p</t>
    </r>
  </si>
  <si>
    <r>
      <t>A</t>
    </r>
    <r>
      <rPr>
        <vertAlign val="subscript"/>
        <sz val="12"/>
        <color indexed="8"/>
        <rFont val="Arial"/>
        <family val="2"/>
      </rPr>
      <t>afronding</t>
    </r>
  </si>
  <si>
    <r>
      <t>A</t>
    </r>
    <r>
      <rPr>
        <vertAlign val="subscript"/>
        <sz val="12"/>
        <color indexed="8"/>
        <rFont val="Arial"/>
        <family val="2"/>
      </rPr>
      <t>g, sh</t>
    </r>
  </si>
  <si>
    <r>
      <t>A</t>
    </r>
    <r>
      <rPr>
        <vertAlign val="subscript"/>
        <sz val="12"/>
        <color indexed="8"/>
        <rFont val="Arial"/>
        <family val="2"/>
      </rPr>
      <t>g</t>
    </r>
  </si>
  <si>
    <r>
      <t>y</t>
    </r>
    <r>
      <rPr>
        <i/>
        <vertAlign val="subscript"/>
        <sz val="12"/>
        <color indexed="8"/>
        <rFont val="Arial"/>
        <family val="2"/>
      </rPr>
      <t>g</t>
    </r>
  </si>
  <si>
    <r>
      <t>z</t>
    </r>
    <r>
      <rPr>
        <vertAlign val="subscript"/>
        <sz val="12"/>
        <color indexed="8"/>
        <rFont val="Arial"/>
        <family val="2"/>
      </rPr>
      <t>g</t>
    </r>
  </si>
  <si>
    <r>
      <t>I</t>
    </r>
    <r>
      <rPr>
        <vertAlign val="subscript"/>
        <sz val="12"/>
        <color indexed="8"/>
        <rFont val="Arial"/>
        <family val="2"/>
      </rPr>
      <t>g,y,sh</t>
    </r>
  </si>
  <si>
    <r>
      <t>I</t>
    </r>
    <r>
      <rPr>
        <vertAlign val="subscript"/>
        <sz val="12"/>
        <color indexed="8"/>
        <rFont val="Arial"/>
        <family val="2"/>
      </rPr>
      <t>g,y</t>
    </r>
  </si>
  <si>
    <r>
      <t>I</t>
    </r>
    <r>
      <rPr>
        <vertAlign val="subscript"/>
        <sz val="12"/>
        <color indexed="8"/>
        <rFont val="Arial"/>
        <family val="2"/>
      </rPr>
      <t>g,z,sh</t>
    </r>
  </si>
  <si>
    <r>
      <t>I</t>
    </r>
    <r>
      <rPr>
        <vertAlign val="subscript"/>
        <sz val="12"/>
        <color indexed="8"/>
        <rFont val="Arial"/>
        <family val="2"/>
      </rPr>
      <t>g,z</t>
    </r>
  </si>
  <si>
    <r>
      <t>i</t>
    </r>
    <r>
      <rPr>
        <vertAlign val="subscript"/>
        <sz val="12"/>
        <color indexed="8"/>
        <rFont val="Arial"/>
        <family val="2"/>
      </rPr>
      <t>g,y,sh</t>
    </r>
  </si>
  <si>
    <r>
      <t>i</t>
    </r>
    <r>
      <rPr>
        <vertAlign val="subscript"/>
        <sz val="12"/>
        <color indexed="8"/>
        <rFont val="Arial"/>
        <family val="2"/>
      </rPr>
      <t>g,y</t>
    </r>
  </si>
  <si>
    <r>
      <t>i</t>
    </r>
    <r>
      <rPr>
        <vertAlign val="subscript"/>
        <sz val="12"/>
        <color indexed="8"/>
        <rFont val="Arial"/>
        <family val="2"/>
      </rPr>
      <t>g,z,sh</t>
    </r>
  </si>
  <si>
    <r>
      <t>i</t>
    </r>
    <r>
      <rPr>
        <vertAlign val="subscript"/>
        <sz val="12"/>
        <color indexed="8"/>
        <rFont val="Arial"/>
        <family val="2"/>
      </rPr>
      <t>g,z</t>
    </r>
  </si>
  <si>
    <r>
      <t>mm</t>
    </r>
    <r>
      <rPr>
        <vertAlign val="superscript"/>
        <sz val="11"/>
        <color indexed="8"/>
        <rFont val="Arial"/>
        <family val="2"/>
      </rPr>
      <t>2</t>
    </r>
  </si>
  <si>
    <t>EN 1993-1-3, 5.1 (3)</t>
  </si>
  <si>
    <t>EN 1993-1-5, 4.4 (2)</t>
  </si>
  <si>
    <t>ν</t>
  </si>
  <si>
    <r>
      <t>l</t>
    </r>
    <r>
      <rPr>
        <vertAlign val="subscript"/>
        <sz val="11"/>
        <color indexed="8"/>
        <rFont val="Times New Roman"/>
        <family val="1"/>
      </rPr>
      <t>r</t>
    </r>
  </si>
  <si>
    <r>
      <t>f</t>
    </r>
    <r>
      <rPr>
        <vertAlign val="subscript"/>
        <sz val="11"/>
        <color indexed="8"/>
        <rFont val="Arial"/>
        <family val="2"/>
      </rPr>
      <t>yb</t>
    </r>
  </si>
  <si>
    <t>afstand van flens tot zw.punt</t>
  </si>
  <si>
    <t>spanningsverh.</t>
  </si>
  <si>
    <t>plooicoëfficiënt</t>
  </si>
  <si>
    <t>reductie factor</t>
  </si>
  <si>
    <t>eff. profielmaten</t>
  </si>
  <si>
    <r>
      <t>h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</si>
  <si>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>t</t>
    </r>
  </si>
  <si>
    <r>
      <t>b</t>
    </r>
    <r>
      <rPr>
        <i/>
        <vertAlign val="subscript"/>
        <sz val="11"/>
        <color indexed="8"/>
        <rFont val="Arial"/>
        <family val="2"/>
      </rPr>
      <t>c</t>
    </r>
  </si>
  <si>
    <t>eff. traagheidsmoment lijf</t>
  </si>
  <si>
    <t>eff. traagheidsmoment flens</t>
  </si>
  <si>
    <t>eff. traagheidsmoment lip</t>
  </si>
  <si>
    <t>eff. traagheidsmoment afrond.</t>
  </si>
  <si>
    <t>eff. weerstandsmoment druk</t>
  </si>
  <si>
    <t>eff. weerstandsmoment trek</t>
  </si>
  <si>
    <r>
      <t>I</t>
    </r>
    <r>
      <rPr>
        <i/>
        <vertAlign val="subscript"/>
        <sz val="11"/>
        <color indexed="8"/>
        <rFont val="Arial"/>
        <family val="2"/>
      </rPr>
      <t>eff ,z,h</t>
    </r>
  </si>
  <si>
    <r>
      <t>I</t>
    </r>
    <r>
      <rPr>
        <i/>
        <vertAlign val="subscript"/>
        <sz val="11"/>
        <color indexed="8"/>
        <rFont val="Arial"/>
        <family val="2"/>
      </rPr>
      <t>eff ,z,b</t>
    </r>
  </si>
  <si>
    <r>
      <t>I</t>
    </r>
    <r>
      <rPr>
        <i/>
        <vertAlign val="subscript"/>
        <sz val="11"/>
        <color indexed="8"/>
        <rFont val="Arial"/>
        <family val="2"/>
      </rPr>
      <t>eff ,z,c</t>
    </r>
  </si>
  <si>
    <r>
      <t>I</t>
    </r>
    <r>
      <rPr>
        <i/>
        <vertAlign val="subscript"/>
        <sz val="11"/>
        <color indexed="8"/>
        <rFont val="Arial"/>
        <family val="2"/>
      </rPr>
      <t>eff ,z,rc</t>
    </r>
  </si>
  <si>
    <r>
      <t>I</t>
    </r>
    <r>
      <rPr>
        <i/>
        <vertAlign val="subscript"/>
        <sz val="11"/>
        <color indexed="8"/>
        <rFont val="Arial"/>
        <family val="2"/>
      </rPr>
      <t>eff ,z</t>
    </r>
  </si>
  <si>
    <r>
      <t>W</t>
    </r>
    <r>
      <rPr>
        <i/>
        <vertAlign val="subscript"/>
        <sz val="11"/>
        <color indexed="8"/>
        <rFont val="Arial"/>
        <family val="2"/>
      </rPr>
      <t>eff,z,com</t>
    </r>
  </si>
  <si>
    <r>
      <t>W</t>
    </r>
    <r>
      <rPr>
        <i/>
        <vertAlign val="subscript"/>
        <sz val="11"/>
        <color indexed="8"/>
        <rFont val="Arial"/>
        <family val="2"/>
      </rPr>
      <t>eff,z,ten</t>
    </r>
  </si>
  <si>
    <r>
      <t>mm</t>
    </r>
    <r>
      <rPr>
        <vertAlign val="superscript"/>
        <sz val="11"/>
        <color indexed="8"/>
        <rFont val="Arial"/>
        <family val="2"/>
      </rPr>
      <t>3</t>
    </r>
  </si>
  <si>
    <t>EN 1993-1-5, tabel 4.1</t>
  </si>
  <si>
    <r>
      <t>h</t>
    </r>
    <r>
      <rPr>
        <vertAlign val="subscript"/>
        <sz val="10"/>
        <color indexed="8"/>
        <rFont val="Calibri"/>
        <family val="2"/>
      </rPr>
      <t xml:space="preserve">eff 1,m </t>
    </r>
    <r>
      <rPr>
        <sz val="10"/>
        <color indexed="8"/>
        <rFont val="Calibri"/>
        <family val="2"/>
      </rPr>
      <t>= h</t>
    </r>
    <r>
      <rPr>
        <vertAlign val="subscript"/>
        <sz val="10"/>
        <color indexed="8"/>
        <rFont val="Calibri"/>
        <family val="2"/>
      </rPr>
      <t>eff 1</t>
    </r>
    <r>
      <rPr>
        <sz val="10"/>
        <color indexed="8"/>
        <rFont val="Calibri"/>
        <family val="2"/>
      </rPr>
      <t xml:space="preserve"> + g</t>
    </r>
    <r>
      <rPr>
        <vertAlign val="subscript"/>
        <sz val="10"/>
        <color indexed="8"/>
        <rFont val="Calibri"/>
        <family val="2"/>
      </rPr>
      <t>r</t>
    </r>
  </si>
  <si>
    <r>
      <t>h</t>
    </r>
    <r>
      <rPr>
        <vertAlign val="subscript"/>
        <sz val="10"/>
        <color indexed="8"/>
        <rFont val="Calibri"/>
        <family val="2"/>
      </rPr>
      <t xml:space="preserve">eff 2,m </t>
    </r>
    <r>
      <rPr>
        <sz val="10"/>
        <color indexed="8"/>
        <rFont val="Calibri"/>
        <family val="2"/>
      </rPr>
      <t>= h</t>
    </r>
    <r>
      <rPr>
        <vertAlign val="subscript"/>
        <sz val="10"/>
        <color indexed="8"/>
        <rFont val="Calibri"/>
        <family val="2"/>
      </rPr>
      <t>eff 2</t>
    </r>
    <r>
      <rPr>
        <sz val="10"/>
        <color indexed="8"/>
        <rFont val="Calibri"/>
        <family val="2"/>
      </rPr>
      <t xml:space="preserve"> + g</t>
    </r>
    <r>
      <rPr>
        <vertAlign val="subscript"/>
        <sz val="10"/>
        <color indexed="8"/>
        <rFont val="Calibri"/>
        <family val="2"/>
      </rPr>
      <t>r</t>
    </r>
  </si>
  <si>
    <r>
      <t>h</t>
    </r>
    <r>
      <rPr>
        <vertAlign val="subscript"/>
        <sz val="10"/>
        <color indexed="8"/>
        <rFont val="Calibri"/>
        <family val="2"/>
      </rPr>
      <t xml:space="preserve">eff 1,v </t>
    </r>
    <r>
      <rPr>
        <sz val="10"/>
        <color indexed="8"/>
        <rFont val="Calibri"/>
        <family val="2"/>
      </rPr>
      <t>= h</t>
    </r>
    <r>
      <rPr>
        <vertAlign val="subscript"/>
        <sz val="10"/>
        <color indexed="8"/>
        <rFont val="Calibri"/>
        <family val="2"/>
      </rPr>
      <t>eff 1,m</t>
    </r>
    <r>
      <rPr>
        <sz val="10"/>
        <color indexed="8"/>
        <rFont val="Calibri"/>
        <family val="2"/>
      </rPr>
      <t xml:space="preserve"> - r</t>
    </r>
    <r>
      <rPr>
        <vertAlign val="subscript"/>
        <sz val="10"/>
        <color indexed="8"/>
        <rFont val="Calibri"/>
        <family val="2"/>
      </rPr>
      <t>m</t>
    </r>
  </si>
  <si>
    <r>
      <t>h</t>
    </r>
    <r>
      <rPr>
        <vertAlign val="subscript"/>
        <sz val="10"/>
        <color indexed="8"/>
        <rFont val="Calibri"/>
        <family val="2"/>
      </rPr>
      <t xml:space="preserve">eff 2,v </t>
    </r>
    <r>
      <rPr>
        <sz val="10"/>
        <color indexed="8"/>
        <rFont val="Calibri"/>
        <family val="2"/>
      </rPr>
      <t>= h</t>
    </r>
    <r>
      <rPr>
        <vertAlign val="subscript"/>
        <sz val="10"/>
        <color indexed="8"/>
        <rFont val="Calibri"/>
        <family val="2"/>
      </rPr>
      <t>eff 2,m</t>
    </r>
    <r>
      <rPr>
        <sz val="10"/>
        <color indexed="8"/>
        <rFont val="Calibri"/>
        <family val="2"/>
      </rPr>
      <t xml:space="preserve"> - r</t>
    </r>
    <r>
      <rPr>
        <vertAlign val="subscript"/>
        <sz val="10"/>
        <color indexed="8"/>
        <rFont val="Calibri"/>
        <family val="2"/>
      </rPr>
      <t>m</t>
    </r>
  </si>
  <si>
    <r>
      <t>e</t>
    </r>
    <r>
      <rPr>
        <vertAlign val="subscript"/>
        <sz val="10"/>
        <color indexed="8"/>
        <rFont val="Calibri"/>
        <family val="2"/>
      </rPr>
      <t>Nz</t>
    </r>
    <r>
      <rPr>
        <sz val="10"/>
        <color indexed="8"/>
        <rFont val="Calibri"/>
        <family val="2"/>
      </rPr>
      <t xml:space="preserve"> = y</t>
    </r>
    <r>
      <rPr>
        <vertAlign val="subscript"/>
        <sz val="10"/>
        <color indexed="8"/>
        <rFont val="Calibri"/>
        <family val="2"/>
      </rPr>
      <t>g</t>
    </r>
    <r>
      <rPr>
        <sz val="10"/>
        <color indexed="8"/>
        <rFont val="Calibri"/>
        <family val="2"/>
      </rPr>
      <t xml:space="preserve"> - y</t>
    </r>
    <r>
      <rPr>
        <vertAlign val="subscript"/>
        <sz val="10"/>
        <color indexed="8"/>
        <rFont val="Calibri"/>
        <family val="2"/>
      </rPr>
      <t>eff</t>
    </r>
  </si>
  <si>
    <r>
      <rPr>
        <sz val="10"/>
        <color indexed="8"/>
        <rFont val="Times New Roman"/>
        <family val="1"/>
      </rPr>
      <t>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=  </t>
    </r>
    <r>
      <rPr>
        <sz val="10"/>
        <color indexed="8"/>
        <rFont val="Brush Script MT"/>
        <family val="4"/>
      </rP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* t</t>
    </r>
  </si>
  <si>
    <r>
      <t>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r + t/2</t>
    </r>
  </si>
  <si>
    <r>
      <t>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= h – t</t>
    </r>
  </si>
  <si>
    <r>
      <t>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b – t</t>
    </r>
  </si>
  <si>
    <r>
      <t>g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* (tan 45° - sin 45°)</t>
    </r>
  </si>
  <si>
    <r>
      <t>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r</t>
    </r>
    <r>
      <rPr>
        <vertAlign val="subscript"/>
        <sz val="10"/>
        <color indexed="8"/>
        <rFont val="Times New Roman"/>
        <family val="1"/>
      </rPr>
      <t>m</t>
    </r>
  </si>
  <si>
    <r>
      <t>b</t>
    </r>
    <r>
      <rPr>
        <vertAlign val="subscript"/>
        <sz val="12"/>
        <color indexed="8"/>
        <rFont val="Times New Roman"/>
        <family val="1"/>
      </rPr>
      <t xml:space="preserve">v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r</t>
    </r>
    <r>
      <rPr>
        <vertAlign val="subscript"/>
        <sz val="12"/>
        <color indexed="8"/>
        <rFont val="Times New Roman"/>
        <family val="1"/>
      </rPr>
      <t>m</t>
    </r>
  </si>
  <si>
    <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= ½ * π * r</t>
    </r>
    <r>
      <rPr>
        <vertAlign val="subscript"/>
        <sz val="10"/>
        <color indexed="8"/>
        <rFont val="Times New Roman"/>
        <family val="1"/>
      </rPr>
      <t>m</t>
    </r>
  </si>
  <si>
    <r>
      <t>h</t>
    </r>
    <r>
      <rPr>
        <vertAlign val="subscript"/>
        <sz val="10"/>
        <color indexed="8"/>
        <rFont val="Times New Roman"/>
        <family val="1"/>
      </rPr>
      <t xml:space="preserve">p </t>
    </r>
    <r>
      <rPr>
        <sz val="10"/>
        <color indexed="8"/>
        <rFont val="Times New Roman"/>
        <family val="1"/>
      </rPr>
      <t>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2 * g</t>
    </r>
    <r>
      <rPr>
        <vertAlign val="subscript"/>
        <sz val="10"/>
        <color indexed="8"/>
        <rFont val="Times New Roman"/>
        <family val="1"/>
      </rPr>
      <t>r</t>
    </r>
  </si>
  <si>
    <r>
      <t>b</t>
    </r>
    <r>
      <rPr>
        <vertAlign val="subscript"/>
        <sz val="12"/>
        <color indexed="8"/>
        <rFont val="Times New Roman"/>
        <family val="1"/>
      </rPr>
      <t xml:space="preserve">p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g</t>
    </r>
    <r>
      <rPr>
        <vertAlign val="subscript"/>
        <sz val="12"/>
        <color indexed="8"/>
        <rFont val="Times New Roman"/>
        <family val="1"/>
      </rPr>
      <t>r</t>
    </r>
  </si>
  <si>
    <r>
      <t>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0,637 * r</t>
    </r>
    <r>
      <rPr>
        <vertAlign val="subscript"/>
        <sz val="10"/>
        <color indexed="8"/>
        <rFont val="Times New Roman"/>
        <family val="1"/>
      </rPr>
      <t>m</t>
    </r>
  </si>
  <si>
    <r>
      <t>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= 0,149 * r</t>
    </r>
    <r>
      <rPr>
        <vertAlign val="subscript"/>
        <sz val="10"/>
        <color indexed="8"/>
        <rFont val="Times New Roman"/>
        <family val="1"/>
      </rPr>
      <t>m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 * t</t>
    </r>
  </si>
  <si>
    <r>
      <t>h</t>
    </r>
    <r>
      <rPr>
        <vertAlign val="subscript"/>
        <sz val="10"/>
        <color indexed="8"/>
        <rFont val="Calibri"/>
        <family val="2"/>
      </rPr>
      <t xml:space="preserve">eff 2 </t>
    </r>
    <r>
      <rPr>
        <sz val="10"/>
        <color indexed="8"/>
        <rFont val="Calibri"/>
        <family val="2"/>
      </rPr>
      <t>= h</t>
    </r>
    <r>
      <rPr>
        <vertAlign val="subscript"/>
        <sz val="10"/>
        <color indexed="8"/>
        <rFont val="Calibri"/>
        <family val="2"/>
      </rPr>
      <t>e 2</t>
    </r>
    <r>
      <rPr>
        <sz val="10"/>
        <color indexed="8"/>
        <rFont val="Calibri"/>
        <family val="2"/>
      </rPr>
      <t xml:space="preserve"> = 0,4 * h</t>
    </r>
    <r>
      <rPr>
        <vertAlign val="subscript"/>
        <sz val="10"/>
        <color indexed="8"/>
        <rFont val="Calibri"/>
        <family val="2"/>
      </rPr>
      <t>eff</t>
    </r>
  </si>
  <si>
    <r>
      <t>h</t>
    </r>
    <r>
      <rPr>
        <vertAlign val="subscript"/>
        <sz val="10"/>
        <color indexed="8"/>
        <rFont val="Calibri"/>
        <family val="2"/>
      </rPr>
      <t xml:space="preserve">eff 1 </t>
    </r>
    <r>
      <rPr>
        <sz val="10"/>
        <color indexed="8"/>
        <rFont val="Calibri"/>
        <family val="2"/>
      </rPr>
      <t>= h</t>
    </r>
    <r>
      <rPr>
        <vertAlign val="subscript"/>
        <sz val="10"/>
        <color indexed="8"/>
        <rFont val="Calibri"/>
        <family val="2"/>
      </rPr>
      <t>e 1</t>
    </r>
    <r>
      <rPr>
        <sz val="10"/>
        <color indexed="8"/>
        <rFont val="Calibri"/>
        <family val="2"/>
      </rPr>
      <t xml:space="preserve"> = 0,6 * h</t>
    </r>
    <r>
      <rPr>
        <vertAlign val="subscript"/>
        <sz val="10"/>
        <color indexed="8"/>
        <rFont val="Calibri"/>
        <family val="2"/>
      </rPr>
      <t>eff</t>
    </r>
  </si>
  <si>
    <r>
      <t>b</t>
    </r>
    <r>
      <rPr>
        <vertAlign val="subscript"/>
        <sz val="10"/>
        <color indexed="8"/>
        <rFont val="Calibri"/>
        <family val="2"/>
      </rPr>
      <t xml:space="preserve">eff 1 </t>
    </r>
    <r>
      <rPr>
        <sz val="10"/>
        <color indexed="8"/>
        <rFont val="Calibri"/>
        <family val="2"/>
      </rPr>
      <t>= b</t>
    </r>
    <r>
      <rPr>
        <vertAlign val="subscript"/>
        <sz val="10"/>
        <color indexed="8"/>
        <rFont val="Calibri"/>
        <family val="2"/>
      </rPr>
      <t>e 1</t>
    </r>
    <r>
      <rPr>
        <sz val="10"/>
        <color indexed="8"/>
        <rFont val="Calibri"/>
        <family val="2"/>
      </rPr>
      <t xml:space="preserve"> = 0,6 * b</t>
    </r>
    <r>
      <rPr>
        <vertAlign val="subscript"/>
        <sz val="10"/>
        <color indexed="8"/>
        <rFont val="Calibri"/>
        <family val="2"/>
      </rPr>
      <t>eff</t>
    </r>
  </si>
  <si>
    <r>
      <t>b</t>
    </r>
    <r>
      <rPr>
        <vertAlign val="subscript"/>
        <sz val="10"/>
        <color indexed="8"/>
        <rFont val="Calibri"/>
        <family val="2"/>
      </rPr>
      <t xml:space="preserve">eff 2 </t>
    </r>
    <r>
      <rPr>
        <sz val="10"/>
        <color indexed="8"/>
        <rFont val="Calibri"/>
        <family val="2"/>
      </rPr>
      <t>= b</t>
    </r>
    <r>
      <rPr>
        <vertAlign val="subscript"/>
        <sz val="10"/>
        <color indexed="8"/>
        <rFont val="Calibri"/>
        <family val="2"/>
      </rPr>
      <t>e 2</t>
    </r>
    <r>
      <rPr>
        <sz val="10"/>
        <color indexed="8"/>
        <rFont val="Calibri"/>
        <family val="2"/>
      </rPr>
      <t xml:space="preserve"> = 0,4 * b</t>
    </r>
    <r>
      <rPr>
        <vertAlign val="subscript"/>
        <sz val="10"/>
        <color indexed="8"/>
        <rFont val="Calibri"/>
        <family val="2"/>
      </rPr>
      <t>eff</t>
    </r>
  </si>
  <si>
    <r>
      <t>b</t>
    </r>
    <r>
      <rPr>
        <vertAlign val="subscript"/>
        <sz val="10"/>
        <color indexed="8"/>
        <rFont val="Calibri"/>
        <family val="2"/>
      </rPr>
      <t xml:space="preserve">eff 2,m </t>
    </r>
    <r>
      <rPr>
        <sz val="10"/>
        <color indexed="8"/>
        <rFont val="Calibri"/>
        <family val="2"/>
      </rPr>
      <t>= b</t>
    </r>
    <r>
      <rPr>
        <vertAlign val="subscript"/>
        <sz val="10"/>
        <color indexed="8"/>
        <rFont val="Calibri"/>
        <family val="2"/>
      </rPr>
      <t>eff 2</t>
    </r>
    <r>
      <rPr>
        <sz val="10"/>
        <color indexed="8"/>
        <rFont val="Calibri"/>
        <family val="2"/>
      </rPr>
      <t xml:space="preserve"> + g</t>
    </r>
    <r>
      <rPr>
        <vertAlign val="subscript"/>
        <sz val="10"/>
        <color indexed="8"/>
        <rFont val="Calibri"/>
        <family val="2"/>
      </rPr>
      <t>r</t>
    </r>
  </si>
  <si>
    <r>
      <t>b</t>
    </r>
    <r>
      <rPr>
        <vertAlign val="subscript"/>
        <sz val="10"/>
        <color indexed="8"/>
        <rFont val="Calibri"/>
        <family val="2"/>
      </rPr>
      <t xml:space="preserve">eff 1,v </t>
    </r>
    <r>
      <rPr>
        <sz val="10"/>
        <color indexed="8"/>
        <rFont val="Calibri"/>
        <family val="2"/>
      </rPr>
      <t>= b</t>
    </r>
    <r>
      <rPr>
        <vertAlign val="subscript"/>
        <sz val="10"/>
        <color indexed="8"/>
        <rFont val="Calibri"/>
        <family val="2"/>
      </rPr>
      <t>eff 1,m</t>
    </r>
    <r>
      <rPr>
        <sz val="10"/>
        <color indexed="8"/>
        <rFont val="Calibri"/>
        <family val="2"/>
      </rPr>
      <t xml:space="preserve"> - r</t>
    </r>
    <r>
      <rPr>
        <vertAlign val="subscript"/>
        <sz val="10"/>
        <color indexed="8"/>
        <rFont val="Calibri"/>
        <family val="2"/>
      </rPr>
      <t>m</t>
    </r>
  </si>
  <si>
    <r>
      <t>b</t>
    </r>
    <r>
      <rPr>
        <vertAlign val="subscript"/>
        <sz val="10"/>
        <color indexed="8"/>
        <rFont val="Calibri"/>
        <family val="2"/>
      </rPr>
      <t xml:space="preserve">eff 2,v </t>
    </r>
    <r>
      <rPr>
        <sz val="10"/>
        <color indexed="8"/>
        <rFont val="Calibri"/>
        <family val="2"/>
      </rPr>
      <t>= b</t>
    </r>
    <r>
      <rPr>
        <vertAlign val="subscript"/>
        <sz val="10"/>
        <color indexed="8"/>
        <rFont val="Calibri"/>
        <family val="2"/>
      </rPr>
      <t>p</t>
    </r>
    <r>
      <rPr>
        <sz val="10"/>
        <color indexed="8"/>
        <rFont val="Calibri"/>
        <family val="2"/>
      </rPr>
      <t xml:space="preserve"> - b</t>
    </r>
    <r>
      <rPr>
        <vertAlign val="subscript"/>
        <sz val="10"/>
        <color indexed="8"/>
        <rFont val="Calibri"/>
        <family val="2"/>
      </rPr>
      <t>t</t>
    </r>
    <r>
      <rPr>
        <sz val="10"/>
        <color indexed="8"/>
        <rFont val="Calibri"/>
        <family val="2"/>
      </rPr>
      <t xml:space="preserve"> - b</t>
    </r>
    <r>
      <rPr>
        <vertAlign val="subscript"/>
        <sz val="10"/>
        <color indexed="8"/>
        <rFont val="Calibri"/>
        <family val="2"/>
      </rPr>
      <t>eff 1</t>
    </r>
    <r>
      <rPr>
        <sz val="10"/>
        <color indexed="8"/>
        <rFont val="Calibri"/>
        <family val="2"/>
      </rPr>
      <t xml:space="preserve"> </t>
    </r>
  </si>
  <si>
    <r>
      <t>c</t>
    </r>
    <r>
      <rPr>
        <vertAlign val="subscript"/>
        <sz val="10"/>
        <color indexed="8"/>
        <rFont val="Calibri"/>
        <family val="2"/>
      </rPr>
      <t xml:space="preserve">eff </t>
    </r>
    <r>
      <rPr>
        <sz val="10"/>
        <color indexed="8"/>
        <rFont val="Calibri"/>
        <family val="2"/>
      </rPr>
      <t>= c</t>
    </r>
    <r>
      <rPr>
        <vertAlign val="subscript"/>
        <sz val="10"/>
        <color indexed="8"/>
        <rFont val="Calibri"/>
        <family val="2"/>
      </rPr>
      <t xml:space="preserve">v </t>
    </r>
  </si>
  <si>
    <r>
      <t>c</t>
    </r>
    <r>
      <rPr>
        <vertAlign val="subscript"/>
        <sz val="10"/>
        <color indexed="8"/>
        <rFont val="Calibri"/>
        <family val="2"/>
      </rPr>
      <t xml:space="preserve">eff ,m </t>
    </r>
    <r>
      <rPr>
        <sz val="10"/>
        <color indexed="8"/>
        <rFont val="Calibri"/>
        <family val="2"/>
      </rPr>
      <t>= c</t>
    </r>
    <r>
      <rPr>
        <vertAlign val="subscript"/>
        <sz val="10"/>
        <color indexed="8"/>
        <rFont val="Calibri"/>
        <family val="2"/>
      </rPr>
      <t>eff</t>
    </r>
    <r>
      <rPr>
        <sz val="10"/>
        <color indexed="8"/>
        <rFont val="Calibri"/>
        <family val="2"/>
      </rPr>
      <t xml:space="preserve"> + g</t>
    </r>
    <r>
      <rPr>
        <vertAlign val="subscript"/>
        <sz val="10"/>
        <color indexed="8"/>
        <rFont val="Calibri"/>
        <family val="2"/>
      </rPr>
      <t>r</t>
    </r>
  </si>
  <si>
    <r>
      <t>I</t>
    </r>
    <r>
      <rPr>
        <vertAlign val="subscript"/>
        <sz val="10"/>
        <color indexed="8"/>
        <rFont val="Times New Roman"/>
        <family val="1"/>
      </rPr>
      <t>eff,z,h</t>
    </r>
    <r>
      <rPr>
        <sz val="10"/>
        <color indexed="8"/>
        <rFont val="Times New Roman"/>
        <family val="1"/>
      </rPr>
      <t xml:space="preserve"> = (h</t>
    </r>
    <r>
      <rPr>
        <vertAlign val="subscript"/>
        <sz val="10"/>
        <color indexed="8"/>
        <rFont val="Times New Roman"/>
        <family val="1"/>
      </rPr>
      <t>eff 1,v</t>
    </r>
    <r>
      <rPr>
        <sz val="10"/>
        <color indexed="8"/>
        <rFont val="Times New Roman"/>
        <family val="1"/>
      </rPr>
      <t xml:space="preserve"> + h</t>
    </r>
    <r>
      <rPr>
        <vertAlign val="subscript"/>
        <sz val="10"/>
        <color indexed="8"/>
        <rFont val="Times New Roman"/>
        <family val="1"/>
      </rPr>
      <t>eff 2,v</t>
    </r>
    <r>
      <rPr>
        <sz val="10"/>
        <color indexed="8"/>
        <rFont val="Times New Roman"/>
        <family val="1"/>
      </rPr>
      <t>) * t * y</t>
    </r>
    <r>
      <rPr>
        <vertAlign val="subscript"/>
        <sz val="10"/>
        <color indexed="8"/>
        <rFont val="Times New Roman"/>
        <family val="1"/>
      </rPr>
      <t xml:space="preserve">eff </t>
    </r>
    <r>
      <rPr>
        <vertAlign val="superscript"/>
        <sz val="10"/>
        <color indexed="8"/>
        <rFont val="Times New Roman"/>
        <family val="1"/>
      </rPr>
      <t>2</t>
    </r>
  </si>
  <si>
    <r>
      <t>I</t>
    </r>
    <r>
      <rPr>
        <vertAlign val="subscript"/>
        <sz val="10"/>
        <color indexed="8"/>
        <rFont val="Times New Roman"/>
        <family val="1"/>
      </rPr>
      <t>eff,z</t>
    </r>
    <r>
      <rPr>
        <sz val="10"/>
        <color indexed="8"/>
        <rFont val="Times New Roman"/>
        <family val="1"/>
      </rPr>
      <t xml:space="preserve"> = I</t>
    </r>
    <r>
      <rPr>
        <vertAlign val="subscript"/>
        <sz val="10"/>
        <color indexed="8"/>
        <rFont val="Times New Roman"/>
        <family val="1"/>
      </rPr>
      <t>eff,z,h</t>
    </r>
    <r>
      <rPr>
        <sz val="10"/>
        <color indexed="8"/>
        <rFont val="Times New Roman"/>
        <family val="1"/>
      </rPr>
      <t xml:space="preserve"> + I</t>
    </r>
    <r>
      <rPr>
        <vertAlign val="subscript"/>
        <sz val="10"/>
        <color indexed="8"/>
        <rFont val="Times New Roman"/>
        <family val="1"/>
      </rPr>
      <t>eff,z,b</t>
    </r>
    <r>
      <rPr>
        <sz val="10"/>
        <color indexed="8"/>
        <rFont val="Times New Roman"/>
        <family val="1"/>
      </rPr>
      <t xml:space="preserve"> + I</t>
    </r>
    <r>
      <rPr>
        <vertAlign val="subscript"/>
        <sz val="10"/>
        <color indexed="8"/>
        <rFont val="Times New Roman"/>
        <family val="1"/>
      </rPr>
      <t>eff,c</t>
    </r>
    <r>
      <rPr>
        <sz val="10"/>
        <color indexed="8"/>
        <rFont val="Times New Roman"/>
        <family val="1"/>
      </rPr>
      <t xml:space="preserve"> + I</t>
    </r>
    <r>
      <rPr>
        <vertAlign val="subscript"/>
        <sz val="10"/>
        <color indexed="8"/>
        <rFont val="Times New Roman"/>
        <family val="1"/>
      </rPr>
      <t>eff,z,rc</t>
    </r>
    <r>
      <rPr>
        <sz val="10"/>
        <color indexed="8"/>
        <rFont val="Times New Roman"/>
        <family val="1"/>
      </rPr>
      <t xml:space="preserve"> </t>
    </r>
  </si>
  <si>
    <r>
      <t>W</t>
    </r>
    <r>
      <rPr>
        <vertAlign val="subscript"/>
        <sz val="10"/>
        <color indexed="8"/>
        <rFont val="Times New Roman"/>
        <family val="1"/>
      </rPr>
      <t>eff,z,com</t>
    </r>
    <r>
      <rPr>
        <sz val="10"/>
        <color indexed="8"/>
        <rFont val="Times New Roman"/>
        <family val="1"/>
      </rPr>
      <t xml:space="preserve"> = I</t>
    </r>
    <r>
      <rPr>
        <vertAlign val="subscript"/>
        <sz val="10"/>
        <color indexed="8"/>
        <rFont val="Times New Roman"/>
        <family val="1"/>
      </rPr>
      <t>eff,z</t>
    </r>
    <r>
      <rPr>
        <sz val="10"/>
        <color indexed="8"/>
        <rFont val="Times New Roman"/>
        <family val="1"/>
      </rPr>
      <t xml:space="preserve"> / (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y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 xml:space="preserve"> )</t>
    </r>
  </si>
  <si>
    <r>
      <t>W</t>
    </r>
    <r>
      <rPr>
        <vertAlign val="subscript"/>
        <sz val="10"/>
        <color indexed="8"/>
        <rFont val="Times New Roman"/>
        <family val="1"/>
      </rPr>
      <t>eff,z,com</t>
    </r>
    <r>
      <rPr>
        <sz val="10"/>
        <color indexed="8"/>
        <rFont val="Times New Roman"/>
        <family val="1"/>
      </rPr>
      <t xml:space="preserve"> = I</t>
    </r>
    <r>
      <rPr>
        <vertAlign val="subscript"/>
        <sz val="10"/>
        <color indexed="8"/>
        <rFont val="Times New Roman"/>
        <family val="1"/>
      </rPr>
      <t>eff,z</t>
    </r>
    <r>
      <rPr>
        <sz val="10"/>
        <color indexed="8"/>
        <rFont val="Times New Roman"/>
        <family val="1"/>
      </rPr>
      <t xml:space="preserve"> / </t>
    </r>
    <r>
      <rPr>
        <sz val="10"/>
        <color indexed="8"/>
        <rFont val="Times New Roman"/>
        <family val="1"/>
      </rPr>
      <t>y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 xml:space="preserve"> </t>
    </r>
  </si>
  <si>
    <r>
      <t>I</t>
    </r>
    <r>
      <rPr>
        <vertAlign val="subscript"/>
        <sz val="10"/>
        <color indexed="8"/>
        <rFont val="Times New Roman"/>
        <family val="1"/>
      </rPr>
      <t>eff,z,b</t>
    </r>
    <r>
      <rPr>
        <sz val="10"/>
        <color indexed="8"/>
        <rFont val="Times New Roman"/>
        <family val="1"/>
      </rPr>
      <t xml:space="preserve"> = (2 * 1/12 * (b</t>
    </r>
    <r>
      <rPr>
        <vertAlign val="subscript"/>
        <sz val="10"/>
        <color indexed="8"/>
        <rFont val="Times New Roman"/>
        <family val="1"/>
      </rPr>
      <t>eff 1,v</t>
    </r>
    <r>
      <rPr>
        <sz val="10"/>
        <color indexed="8"/>
        <rFont val="Times New Roman"/>
        <family val="1"/>
      </rPr>
      <t xml:space="preserve"> + b</t>
    </r>
    <r>
      <rPr>
        <vertAlign val="subscript"/>
        <sz val="10"/>
        <color indexed="8"/>
        <rFont val="Times New Roman"/>
        <family val="1"/>
      </rPr>
      <t>t,v</t>
    </r>
    <r>
      <rPr>
        <sz val="10"/>
        <color indexed="8"/>
        <rFont val="Times New Roman"/>
        <family val="1"/>
      </rPr>
      <t>)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 xml:space="preserve"> * t) + (2 * (b</t>
    </r>
    <r>
      <rPr>
        <vertAlign val="subscript"/>
        <sz val="10"/>
        <color indexed="8"/>
        <rFont val="Times New Roman"/>
        <family val="1"/>
      </rPr>
      <t>eff 1,v</t>
    </r>
    <r>
      <rPr>
        <sz val="10"/>
        <color indexed="8"/>
        <rFont val="Times New Roman"/>
        <family val="1"/>
      </rPr>
      <t xml:space="preserve"> + b</t>
    </r>
    <r>
      <rPr>
        <vertAlign val="subscript"/>
        <sz val="10"/>
        <color indexed="8"/>
        <rFont val="Times New Roman"/>
        <family val="1"/>
      </rPr>
      <t>t,v</t>
    </r>
    <r>
      <rPr>
        <sz val="10"/>
        <color indexed="8"/>
        <rFont val="Times New Roman"/>
        <family val="1"/>
      </rPr>
      <t>) * (</t>
    </r>
    <r>
      <rPr>
        <sz val="10"/>
        <color indexed="8"/>
        <rFont val="Calibri"/>
        <family val="2"/>
      </rPr>
      <t>½</t>
    </r>
    <r>
      <rPr>
        <sz val="10"/>
        <color indexed="8"/>
        <rFont val="Times New Roman"/>
        <family val="1"/>
      </rPr>
      <t xml:space="preserve"> * (b</t>
    </r>
    <r>
      <rPr>
        <vertAlign val="subscript"/>
        <sz val="10"/>
        <color indexed="8"/>
        <rFont val="Times New Roman"/>
        <family val="1"/>
      </rPr>
      <t>eff 1,v</t>
    </r>
    <r>
      <rPr>
        <sz val="10"/>
        <color indexed="8"/>
        <rFont val="Times New Roman"/>
        <family val="1"/>
      </rPr>
      <t xml:space="preserve"> + b</t>
    </r>
    <r>
      <rPr>
        <vertAlign val="subscript"/>
        <sz val="10"/>
        <color indexed="8"/>
        <rFont val="Times New Roman"/>
        <family val="1"/>
      </rPr>
      <t>t,v</t>
    </r>
    <r>
      <rPr>
        <sz val="10"/>
        <color indexed="8"/>
        <rFont val="Times New Roman"/>
        <family val="1"/>
      </rPr>
      <t>) +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y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>)</t>
    </r>
    <r>
      <rPr>
        <vertAlign val="super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 xml:space="preserve"> * t)</t>
    </r>
  </si>
  <si>
    <r>
      <t>I</t>
    </r>
    <r>
      <rPr>
        <vertAlign val="subscript"/>
        <sz val="10"/>
        <color indexed="8"/>
        <rFont val="Times New Roman"/>
        <family val="1"/>
      </rPr>
      <t>eff,z,c</t>
    </r>
    <r>
      <rPr>
        <sz val="10"/>
        <color indexed="8"/>
        <rFont val="Times New Roman"/>
        <family val="1"/>
      </rPr>
      <t xml:space="preserve"> = 2 * c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 xml:space="preserve"> </t>
    </r>
    <r>
      <rPr>
        <sz val="10"/>
        <color indexed="8"/>
        <rFont val="Times New Roman"/>
        <family val="1"/>
      </rPr>
      <t>* (h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</t>
    </r>
    <r>
      <rPr>
        <sz val="10"/>
        <color indexed="8"/>
        <rFont val="Times New Roman"/>
        <family val="1"/>
      </rPr>
      <t>y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>)</t>
    </r>
    <r>
      <rPr>
        <vertAlign val="super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 xml:space="preserve"> * t</t>
    </r>
    <r>
      <rPr>
        <vertAlign val="subscript"/>
        <sz val="10"/>
        <color indexed="8"/>
        <rFont val="Times New Roman"/>
        <family val="1"/>
      </rPr>
      <t>red</t>
    </r>
    <r>
      <rPr>
        <sz val="10"/>
        <color indexed="8"/>
        <rFont val="Times New Roman"/>
        <family val="1"/>
      </rPr>
      <t xml:space="preserve"> </t>
    </r>
  </si>
  <si>
    <r>
      <t>I</t>
    </r>
    <r>
      <rPr>
        <vertAlign val="subscript"/>
        <sz val="10"/>
        <color indexed="8"/>
        <rFont val="Times New Roman"/>
        <family val="1"/>
      </rPr>
      <t>eff,z,rc</t>
    </r>
    <r>
      <rPr>
        <sz val="10"/>
        <color indexed="8"/>
        <rFont val="Times New Roman"/>
        <family val="1"/>
      </rPr>
      <t xml:space="preserve"> = 4 * I</t>
    </r>
    <r>
      <rPr>
        <vertAlign val="subscript"/>
        <sz val="10"/>
        <color indexed="8"/>
        <rFont val="Times New Roman"/>
        <family val="1"/>
      </rPr>
      <t>rc</t>
    </r>
  </si>
  <si>
    <r>
      <t>A</t>
    </r>
    <r>
      <rPr>
        <vertAlign val="subscript"/>
        <sz val="10"/>
        <color indexed="8"/>
        <rFont val="Calibri"/>
        <family val="2"/>
      </rPr>
      <t>eff</t>
    </r>
    <r>
      <rPr>
        <sz val="10"/>
        <color indexed="8"/>
        <rFont val="Calibri"/>
        <family val="2"/>
      </rPr>
      <t xml:space="preserve"> = [ (h</t>
    </r>
    <r>
      <rPr>
        <vertAlign val="subscript"/>
        <sz val="10"/>
        <color indexed="8"/>
        <rFont val="Calibri"/>
        <family val="2"/>
      </rPr>
      <t>eff1,v</t>
    </r>
    <r>
      <rPr>
        <sz val="10"/>
        <color indexed="8"/>
        <rFont val="Calibri"/>
        <family val="2"/>
      </rPr>
      <t xml:space="preserve"> + h</t>
    </r>
    <r>
      <rPr>
        <vertAlign val="subscript"/>
        <sz val="10"/>
        <color indexed="8"/>
        <rFont val="Calibri"/>
        <family val="2"/>
      </rPr>
      <t>eff2,v</t>
    </r>
    <r>
      <rPr>
        <sz val="10"/>
        <color indexed="8"/>
        <rFont val="Calibri"/>
        <family val="2"/>
      </rPr>
      <t xml:space="preserve"> + (2 * ( b</t>
    </r>
    <r>
      <rPr>
        <vertAlign val="subscript"/>
        <sz val="10"/>
        <color indexed="8"/>
        <rFont val="Calibri"/>
        <family val="2"/>
      </rPr>
      <t>eff 1,v</t>
    </r>
    <r>
      <rPr>
        <sz val="10"/>
        <color indexed="8"/>
        <rFont val="Calibri"/>
        <family val="2"/>
      </rPr>
      <t xml:space="preserve"> + b</t>
    </r>
    <r>
      <rPr>
        <vertAlign val="subscript"/>
        <sz val="10"/>
        <color indexed="8"/>
        <rFont val="Calibri"/>
        <family val="2"/>
      </rPr>
      <t>eff 2,v</t>
    </r>
    <r>
      <rPr>
        <sz val="10"/>
        <color indexed="8"/>
        <rFont val="Calibri"/>
        <family val="2"/>
      </rPr>
      <t xml:space="preserve"> + b</t>
    </r>
    <r>
      <rPr>
        <vertAlign val="subscript"/>
        <sz val="10"/>
        <color indexed="8"/>
        <rFont val="Calibri"/>
        <family val="2"/>
      </rPr>
      <t>t</t>
    </r>
    <r>
      <rPr>
        <sz val="10"/>
        <color indexed="8"/>
        <rFont val="Calibri"/>
        <family val="2"/>
      </rPr>
      <t xml:space="preserve">) + (4 * </t>
    </r>
    <r>
      <rPr>
        <i/>
        <sz val="10"/>
        <color indexed="8"/>
        <rFont val="Brush Script MT"/>
        <family val="4"/>
      </rPr>
      <t>l</t>
    </r>
    <r>
      <rPr>
        <vertAlign val="subscript"/>
        <sz val="10"/>
        <color indexed="8"/>
        <rFont val="Calibri"/>
        <family val="2"/>
      </rPr>
      <t>r</t>
    </r>
    <r>
      <rPr>
        <sz val="10"/>
        <color indexed="8"/>
        <rFont val="Calibri"/>
        <family val="2"/>
      </rPr>
      <t>) + 2 * c</t>
    </r>
    <r>
      <rPr>
        <vertAlign val="subscript"/>
        <sz val="10"/>
        <color indexed="8"/>
        <rFont val="Calibri"/>
        <family val="2"/>
      </rPr>
      <t>eff</t>
    </r>
    <r>
      <rPr>
        <sz val="10"/>
        <color indexed="8"/>
        <rFont val="Calibri"/>
        <family val="2"/>
      </rPr>
      <t xml:space="preserve">] * t </t>
    </r>
  </si>
  <si>
    <r>
      <t>y</t>
    </r>
    <r>
      <rPr>
        <vertAlign val="subscript"/>
        <sz val="10"/>
        <color indexed="8"/>
        <rFont val="Times New Roman"/>
        <family val="1"/>
      </rPr>
      <t xml:space="preserve">eff  </t>
    </r>
    <r>
      <rPr>
        <sz val="10"/>
        <color indexed="8"/>
        <rFont val="Times New Roman"/>
        <family val="1"/>
      </rPr>
      <t>= (t / A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>) * [ (2 * (</t>
    </r>
    <r>
      <rPr>
        <sz val="10"/>
        <color indexed="8"/>
        <rFont val="Brush Script MT"/>
        <family val="4"/>
      </rPr>
      <t>l</t>
    </r>
    <r>
      <rPr>
        <vertAlign val="subscript"/>
        <sz val="10"/>
        <color indexed="8"/>
        <rFont val="Times New Roman"/>
        <family val="1"/>
      </rPr>
      <t xml:space="preserve">r </t>
    </r>
    <r>
      <rPr>
        <sz val="10"/>
        <color indexed="8"/>
        <rFont val="Times New Roman"/>
        <family val="1"/>
      </rPr>
      <t>*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))) + 2 *b</t>
    </r>
    <r>
      <rPr>
        <vertAlign val="subscript"/>
        <sz val="10"/>
        <color indexed="8"/>
        <rFont val="Times New Roman"/>
        <family val="1"/>
      </rPr>
      <t>eff 1,v</t>
    </r>
    <r>
      <rPr>
        <sz val="10"/>
        <color indexed="8"/>
        <rFont val="Times New Roman"/>
        <family val="1"/>
      </rPr>
      <t xml:space="preserve"> * ( ½ * b</t>
    </r>
    <r>
      <rPr>
        <vertAlign val="subscript"/>
        <sz val="10"/>
        <color indexed="8"/>
        <rFont val="Times New Roman"/>
        <family val="1"/>
      </rPr>
      <t>eff1,v</t>
    </r>
    <r>
      <rPr>
        <sz val="10"/>
        <color indexed="8"/>
        <rFont val="Times New Roman"/>
        <family val="1"/>
      </rPr>
      <t xml:space="preserve"> +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+ 2 * (b</t>
    </r>
    <r>
      <rPr>
        <vertAlign val="subscript"/>
        <sz val="10"/>
        <color indexed="8"/>
        <rFont val="Times New Roman"/>
        <family val="1"/>
      </rPr>
      <t>eff2;v</t>
    </r>
    <r>
      <rPr>
        <sz val="10"/>
        <color indexed="8"/>
        <rFont val="Times New Roman"/>
        <family val="1"/>
      </rPr>
      <t xml:space="preserve"> + b</t>
    </r>
    <r>
      <rPr>
        <vertAlign val="subscript"/>
        <sz val="10"/>
        <color indexed="8"/>
        <rFont val="Times New Roman"/>
        <family val="1"/>
      </rPr>
      <t>t;v</t>
    </r>
    <r>
      <rPr>
        <sz val="10"/>
        <color indexed="8"/>
        <rFont val="Times New Roman"/>
        <family val="1"/>
      </rPr>
      <t>) * (½ * (b</t>
    </r>
    <r>
      <rPr>
        <vertAlign val="subscript"/>
        <sz val="10"/>
        <color indexed="8"/>
        <rFont val="Times New Roman"/>
        <family val="1"/>
      </rPr>
      <t>eff2;v</t>
    </r>
    <r>
      <rPr>
        <sz val="10"/>
        <color indexed="8"/>
        <rFont val="Times New Roman"/>
        <family val="1"/>
      </rPr>
      <t xml:space="preserve"> + b</t>
    </r>
    <r>
      <rPr>
        <vertAlign val="subscript"/>
        <sz val="10"/>
        <color indexed="8"/>
        <rFont val="Times New Roman"/>
        <family val="1"/>
      </rPr>
      <t>t;v</t>
    </r>
    <r>
      <rPr>
        <sz val="10"/>
        <color indexed="8"/>
        <rFont val="Times New Roman"/>
        <family val="1"/>
      </rPr>
      <t>) + (bv - (b</t>
    </r>
    <r>
      <rPr>
        <vertAlign val="subscript"/>
        <sz val="10"/>
        <color indexed="8"/>
        <rFont val="Times New Roman"/>
        <family val="1"/>
      </rPr>
      <t>eff2;v</t>
    </r>
    <r>
      <rPr>
        <sz val="10"/>
        <color indexed="8"/>
        <rFont val="Times New Roman"/>
        <family val="1"/>
      </rPr>
      <t xml:space="preserve"> + b</t>
    </r>
    <r>
      <rPr>
        <vertAlign val="subscript"/>
        <sz val="10"/>
        <color indexed="8"/>
        <rFont val="Times New Roman"/>
        <family val="1"/>
      </rPr>
      <t>t;v</t>
    </r>
    <r>
      <rPr>
        <sz val="10"/>
        <color indexed="8"/>
        <rFont val="Times New Roman"/>
        <family val="1"/>
      </rPr>
      <t>)) + 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+</t>
    </r>
  </si>
  <si>
    <r>
      <t>2 * c</t>
    </r>
    <r>
      <rPr>
        <vertAlign val="subscript"/>
        <sz val="10"/>
        <color indexed="8"/>
        <rFont val="Times New Roman"/>
        <family val="1"/>
      </rPr>
      <t>eff</t>
    </r>
    <r>
      <rPr>
        <sz val="10"/>
        <color indexed="8"/>
        <rFont val="Times New Roman"/>
        <family val="1"/>
      </rPr>
      <t xml:space="preserve">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+ 2 * </t>
    </r>
    <r>
      <rPr>
        <i/>
        <sz val="10"/>
        <color indexed="8"/>
        <rFont val="Brush Script MT"/>
        <family val="4"/>
      </rPr>
      <t>l</t>
    </r>
    <r>
      <rPr>
        <vertAlign val="subscript"/>
        <sz val="10"/>
        <color indexed="8"/>
        <rFont val="Times New Roman"/>
        <family val="1"/>
      </rPr>
      <t>r</t>
    </r>
    <r>
      <rPr>
        <sz val="10"/>
        <color indexed="8"/>
        <rFont val="Times New Roman"/>
        <family val="1"/>
      </rPr>
      <t xml:space="preserve">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-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 ]</t>
    </r>
  </si>
  <si>
    <r>
      <t>mm</t>
    </r>
    <r>
      <rPr>
        <vertAlign val="superscript"/>
        <sz val="11"/>
        <color indexed="8"/>
        <rFont val="Arial"/>
        <family val="2"/>
      </rPr>
      <t>3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</si>
  <si>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</si>
  <si>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t>afrondingsstraal</t>
  </si>
  <si>
    <t>1 ≤</t>
  </si>
  <si>
    <r>
      <t xml:space="preserve">≤ </t>
    </r>
    <r>
      <rPr>
        <sz val="11"/>
        <color indexed="8"/>
        <rFont val="Arial"/>
        <family val="2"/>
      </rPr>
      <t>8</t>
    </r>
  </si>
  <si>
    <r>
      <t>≤</t>
    </r>
    <r>
      <rPr>
        <sz val="11"/>
        <color indexed="8"/>
        <rFont val="Arial"/>
        <family val="2"/>
      </rPr>
      <t xml:space="preserve"> 50</t>
    </r>
  </si>
  <si>
    <r>
      <t>≤</t>
    </r>
    <r>
      <rPr>
        <sz val="11"/>
        <color indexed="8"/>
        <rFont val="Arial"/>
        <family val="2"/>
      </rPr>
      <t xml:space="preserve"> 500</t>
    </r>
  </si>
  <si>
    <r>
      <t>≤</t>
    </r>
    <r>
      <rPr>
        <sz val="11"/>
        <color indexed="8"/>
        <rFont val="Arial"/>
        <family val="2"/>
      </rPr>
      <t xml:space="preserve"> 60</t>
    </r>
  </si>
  <si>
    <t>plaatdeel 3 [lip]</t>
  </si>
  <si>
    <t>c/b</t>
  </si>
  <si>
    <r>
      <rPr>
        <sz val="11"/>
        <color indexed="8"/>
        <rFont val="Calibri"/>
        <family val="2"/>
      </rPr>
      <t xml:space="preserve">≥ </t>
    </r>
    <r>
      <rPr>
        <sz val="11"/>
        <color indexed="8"/>
        <rFont val="Arial"/>
        <family val="2"/>
      </rPr>
      <t>0,2</t>
    </r>
  </si>
  <si>
    <r>
      <rPr>
        <sz val="11"/>
        <color indexed="8"/>
        <rFont val="Calibri"/>
        <family val="2"/>
      </rPr>
      <t xml:space="preserve">≤ </t>
    </r>
    <r>
      <rPr>
        <sz val="11"/>
        <color indexed="8"/>
        <rFont val="Arial"/>
        <family val="2"/>
      </rPr>
      <t>0,6</t>
    </r>
  </si>
  <si>
    <t>Ψ</t>
  </si>
  <si>
    <r>
      <t>y</t>
    </r>
    <r>
      <rPr>
        <i/>
        <vertAlign val="subscript"/>
        <sz val="11"/>
        <color indexed="8"/>
        <rFont val="Arial"/>
        <family val="2"/>
      </rPr>
      <t>eff</t>
    </r>
  </si>
  <si>
    <r>
      <t>y</t>
    </r>
    <r>
      <rPr>
        <i/>
        <vertAlign val="subscript"/>
        <sz val="11"/>
        <color indexed="8"/>
        <rFont val="Arial"/>
        <family val="2"/>
      </rPr>
      <t>init</t>
    </r>
  </si>
  <si>
    <r>
      <t>c</t>
    </r>
    <r>
      <rPr>
        <i/>
        <vertAlign val="subscript"/>
        <sz val="11"/>
        <color indexed="8"/>
        <rFont val="Arial"/>
        <family val="2"/>
      </rPr>
      <t>v</t>
    </r>
  </si>
  <si>
    <r>
      <t>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(t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t) + (2 * t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(4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>)</t>
    </r>
  </si>
  <si>
    <r>
      <t>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[ (h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½ *t) +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½ * t)) + (2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½ * b) + (2 * 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(b – (½ * t) +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))) + (2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(b – (½ * t)) ]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– (½ * t)</t>
    </r>
  </si>
  <si>
    <r>
      <t>z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=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/ 2</t>
    </r>
  </si>
  <si>
    <r>
      <t>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</si>
  <si>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= √ (I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/ A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</t>
    </r>
  </si>
  <si>
    <r>
      <t>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c – ½ * t</t>
    </r>
  </si>
  <si>
    <r>
      <t>c</t>
    </r>
    <r>
      <rPr>
        <vertAlign val="subscript"/>
        <sz val="12"/>
        <color indexed="8"/>
        <rFont val="Times New Roman"/>
        <family val="1"/>
      </rPr>
      <t>v</t>
    </r>
    <r>
      <rPr>
        <sz val="12"/>
        <color indexed="8"/>
        <rFont val="Times New Roman"/>
        <family val="1"/>
      </rPr>
      <t xml:space="preserve"> = 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r</t>
    </r>
    <r>
      <rPr>
        <vertAlign val="subscript"/>
        <sz val="12"/>
        <color indexed="8"/>
        <rFont val="Times New Roman"/>
        <family val="1"/>
      </rPr>
      <t>m</t>
    </r>
  </si>
  <si>
    <r>
      <t>c</t>
    </r>
    <r>
      <rPr>
        <vertAlign val="subscript"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= 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- g</t>
    </r>
    <r>
      <rPr>
        <vertAlign val="subscript"/>
        <sz val="12"/>
        <color indexed="8"/>
        <rFont val="Times New Roman"/>
        <family val="1"/>
      </rPr>
      <t>r</t>
    </r>
  </si>
  <si>
    <r>
      <t>I</t>
    </r>
    <r>
      <rPr>
        <vertAlign val="subscript"/>
        <sz val="10"/>
        <color indexed="8"/>
        <rFont val="Times New Roman"/>
        <family val="1"/>
      </rPr>
      <t>g,z</t>
    </r>
    <r>
      <rPr>
        <sz val="10"/>
        <color indexed="8"/>
        <rFont val="Times New Roman"/>
        <family val="1"/>
      </rPr>
      <t xml:space="preserve"> = </t>
    </r>
    <r>
      <rPr>
        <sz val="10"/>
        <color indexed="8"/>
        <rFont val="Times New Roman"/>
        <family val="1"/>
      </rPr>
      <t>(h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²) + (2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 xml:space="preserve"> –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))²))) + (2 * (t * 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((½ * 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)²)) + (2*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(r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)²))) + (2 *  (c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(b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 xml:space="preserve"> – y</t>
    </r>
    <r>
      <rPr>
        <vertAlign val="subscript"/>
        <sz val="10"/>
        <color indexed="8"/>
        <rFont val="Times New Roman"/>
        <family val="1"/>
      </rPr>
      <t>g</t>
    </r>
    <r>
      <rPr>
        <sz val="10"/>
        <color indexed="8"/>
        <rFont val="Times New Roman"/>
        <family val="1"/>
      </rPr>
      <t>)²))</t>
    </r>
  </si>
  <si>
    <r>
      <t>I</t>
    </r>
    <r>
      <rPr>
        <vertAlign val="subscript"/>
        <sz val="10"/>
        <color indexed="8"/>
        <rFont val="Times New Roman"/>
        <family val="1"/>
      </rPr>
      <t>g,y</t>
    </r>
    <r>
      <rPr>
        <sz val="10"/>
        <color indexed="8"/>
        <rFont val="Times New Roman"/>
        <family val="1"/>
      </rPr>
      <t xml:space="preserve"> = (2 * </t>
    </r>
    <r>
      <rPr>
        <sz val="10"/>
        <color indexed="8"/>
        <rFont val="Times New Roman"/>
        <family val="1"/>
      </rPr>
      <t>(b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t * (½ * h</t>
    </r>
    <r>
      <rPr>
        <vertAlign val="subscript"/>
        <sz val="10"/>
        <color indexed="8"/>
        <rFont val="Times New Roman"/>
        <family val="1"/>
      </rPr>
      <t>m</t>
    </r>
    <r>
      <rPr>
        <sz val="10"/>
        <color indexed="8"/>
        <rFont val="Times New Roman"/>
        <family val="1"/>
      </rPr>
      <t>)²)) + (1/12 * t * h</t>
    </r>
    <r>
      <rPr>
        <vertAlign val="subscript"/>
        <sz val="10"/>
        <color indexed="8"/>
        <rFont val="Times New Roman"/>
        <family val="1"/>
      </rPr>
      <t>v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 + (4 * (I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 xml:space="preserve"> + (A</t>
    </r>
    <r>
      <rPr>
        <vertAlign val="subscript"/>
        <sz val="10"/>
        <color indexed="8"/>
        <rFont val="Times New Roman"/>
        <family val="1"/>
      </rPr>
      <t>afronding</t>
    </r>
    <r>
      <rPr>
        <sz val="10"/>
        <color indexed="8"/>
        <rFont val="Times New Roman"/>
        <family val="1"/>
      </rPr>
      <t xml:space="preserve"> * ((½ * h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 + e</t>
    </r>
    <r>
      <rPr>
        <vertAlign val="subscript"/>
        <sz val="10"/>
        <color indexed="8"/>
        <rFont val="Times New Roman"/>
        <family val="1"/>
      </rPr>
      <t>rc</t>
    </r>
    <r>
      <rPr>
        <sz val="10"/>
        <color indexed="8"/>
        <rFont val="Times New Roman"/>
        <family val="1"/>
      </rPr>
      <t>)²))) + (2 * ((1/12 * t * c</t>
    </r>
    <r>
      <rPr>
        <vertAlign val="subscript"/>
        <sz val="10"/>
        <color indexed="8"/>
        <rFont val="Times New Roman"/>
        <family val="1"/>
      </rPr>
      <t>v</t>
    </r>
    <r>
      <rPr>
        <vertAlign val="superscript"/>
        <sz val="10"/>
        <color indexed="8"/>
        <rFont val="Times New Roman"/>
        <family val="1"/>
      </rPr>
      <t>3</t>
    </r>
    <r>
      <rPr>
        <sz val="10"/>
        <color indexed="8"/>
        <rFont val="Times New Roman"/>
        <family val="1"/>
      </rPr>
      <t>) + (t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 xml:space="preserve"> * ((½ * h) – c + (½ * c</t>
    </r>
    <r>
      <rPr>
        <vertAlign val="subscript"/>
        <sz val="10"/>
        <color indexed="8"/>
        <rFont val="Times New Roman"/>
        <family val="1"/>
      </rPr>
      <t>v</t>
    </r>
    <r>
      <rPr>
        <sz val="10"/>
        <color indexed="8"/>
        <rFont val="Times New Roman"/>
        <family val="1"/>
      </rPr>
      <t>))²)))</t>
    </r>
  </si>
  <si>
    <r>
      <t>b</t>
    </r>
    <r>
      <rPr>
        <i/>
        <vertAlign val="subscript"/>
        <sz val="11"/>
        <color indexed="8"/>
        <rFont val="Calibri"/>
        <family val="2"/>
      </rPr>
      <t>t</t>
    </r>
  </si>
  <si>
    <r>
      <t>b</t>
    </r>
    <r>
      <rPr>
        <i/>
        <vertAlign val="subscript"/>
        <sz val="11"/>
        <color indexed="8"/>
        <rFont val="Calibri"/>
        <family val="2"/>
      </rPr>
      <t>c</t>
    </r>
  </si>
  <si>
    <r>
      <t>f</t>
    </r>
    <r>
      <rPr>
        <i/>
        <vertAlign val="subscript"/>
        <sz val="11"/>
        <color indexed="8"/>
        <rFont val="Arial"/>
        <family val="2"/>
      </rPr>
      <t>yb</t>
    </r>
  </si>
  <si>
    <r>
      <t>y</t>
    </r>
    <r>
      <rPr>
        <i/>
        <vertAlign val="subscript"/>
        <sz val="11"/>
        <color indexed="8"/>
        <rFont val="Arial"/>
        <family val="2"/>
      </rPr>
      <t>g;sh</t>
    </r>
  </si>
  <si>
    <r>
      <t>z</t>
    </r>
    <r>
      <rPr>
        <i/>
        <vertAlign val="subscript"/>
        <sz val="11"/>
        <color indexed="8"/>
        <rFont val="Arial"/>
        <family val="2"/>
      </rPr>
      <t>g;sh</t>
    </r>
  </si>
  <si>
    <r>
      <t>k</t>
    </r>
    <r>
      <rPr>
        <i/>
        <vertAlign val="subscript"/>
        <sz val="11"/>
        <color indexed="8"/>
        <rFont val="Arial"/>
        <family val="2"/>
      </rPr>
      <t>σ</t>
    </r>
  </si>
  <si>
    <r>
      <t>A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</si>
  <si>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>t,v</t>
    </r>
  </si>
  <si>
    <t>eff. traagheidsmoment totaal</t>
  </si>
  <si>
    <r>
      <t>C-M</t>
    </r>
    <r>
      <rPr>
        <b/>
        <vertAlign val="subscript"/>
        <sz val="20"/>
        <color indexed="8"/>
        <rFont val="Arial"/>
        <family val="2"/>
      </rPr>
      <t>z1</t>
    </r>
    <r>
      <rPr>
        <b/>
        <sz val="20"/>
        <color indexed="8"/>
        <rFont val="Arial"/>
        <family val="2"/>
      </rPr>
      <t>: Input &amp; output</t>
    </r>
  </si>
  <si>
    <r>
      <t>γ</t>
    </r>
    <r>
      <rPr>
        <i/>
        <vertAlign val="subscript"/>
        <sz val="11"/>
        <color indexed="8"/>
        <rFont val="Arial"/>
        <family val="2"/>
      </rPr>
      <t xml:space="preserve">M0 </t>
    </r>
  </si>
  <si>
    <r>
      <t>γ</t>
    </r>
    <r>
      <rPr>
        <i/>
        <vertAlign val="subscript"/>
        <sz val="11"/>
        <color indexed="8"/>
        <rFont val="Arial"/>
        <family val="2"/>
      </rPr>
      <t>M1</t>
    </r>
  </si>
  <si>
    <r>
      <t xml:space="preserve">0,04 * </t>
    </r>
    <r>
      <rPr>
        <i/>
        <sz val="11"/>
        <color indexed="8"/>
        <rFont val="Arial"/>
        <family val="2"/>
      </rPr>
      <t>t *E / f</t>
    </r>
    <r>
      <rPr>
        <i/>
        <vertAlign val="subscript"/>
        <sz val="11"/>
        <color indexed="8"/>
        <rFont val="Arial"/>
        <family val="2"/>
      </rPr>
      <t>y</t>
    </r>
  </si>
  <si>
    <r>
      <t>I</t>
    </r>
    <r>
      <rPr>
        <i/>
        <vertAlign val="subscript"/>
        <sz val="11"/>
        <color indexed="8"/>
        <rFont val="Arial"/>
        <family val="2"/>
      </rPr>
      <t>eff,z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</si>
  <si>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</si>
  <si>
    <r>
      <t>h</t>
    </r>
    <r>
      <rPr>
        <i/>
        <vertAlign val="subscript"/>
        <sz val="11"/>
        <color indexed="8"/>
        <rFont val="Arial"/>
        <family val="2"/>
      </rPr>
      <t>eff2,v</t>
    </r>
  </si>
  <si>
    <r>
      <t>b</t>
    </r>
    <r>
      <rPr>
        <i/>
        <vertAlign val="subscript"/>
        <sz val="11"/>
        <color indexed="8"/>
        <rFont val="Arial"/>
        <family val="2"/>
      </rPr>
      <t>eff1,v</t>
    </r>
  </si>
  <si>
    <r>
      <t>b</t>
    </r>
    <r>
      <rPr>
        <i/>
        <vertAlign val="subscript"/>
        <sz val="11"/>
        <color indexed="8"/>
        <rFont val="Arial"/>
        <family val="2"/>
      </rPr>
      <t>eff2,v</t>
    </r>
  </si>
  <si>
    <r>
      <t>C-M</t>
    </r>
    <r>
      <rPr>
        <b/>
        <vertAlign val="subscript"/>
        <sz val="20"/>
        <color indexed="8"/>
        <rFont val="Arial"/>
        <family val="2"/>
      </rPr>
      <t>z1</t>
    </r>
    <r>
      <rPr>
        <b/>
        <sz val="20"/>
        <color indexed="8"/>
        <rFont val="Arial"/>
        <family val="2"/>
      </rPr>
      <t>: Profieleigenschappen</t>
    </r>
  </si>
  <si>
    <r>
      <t>γ</t>
    </r>
    <r>
      <rPr>
        <i/>
        <vertAlign val="subscript"/>
        <sz val="11"/>
        <color indexed="8"/>
        <rFont val="Arial"/>
        <family val="2"/>
      </rPr>
      <t>M0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</si>
  <si>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5 </t>
    </r>
    <r>
      <rPr>
        <i/>
        <sz val="11"/>
        <color indexed="8"/>
        <rFont val="Arial"/>
        <family val="2"/>
      </rPr>
      <t>t</t>
    </r>
  </si>
  <si>
    <r>
      <rPr>
        <i/>
        <sz val="11"/>
        <color indexed="8"/>
        <rFont val="Arial"/>
        <family val="2"/>
      </rPr>
      <t xml:space="preserve">r </t>
    </r>
    <r>
      <rPr>
        <sz val="11"/>
        <color indexed="8"/>
        <rFont val="Arial"/>
        <family val="2"/>
      </rPr>
      <t xml:space="preserve">≤ 0,1 </t>
    </r>
    <r>
      <rPr>
        <i/>
        <sz val="11"/>
        <color indexed="8"/>
        <rFont val="Arial"/>
        <family val="2"/>
      </rPr>
      <t>b</t>
    </r>
    <r>
      <rPr>
        <i/>
        <vertAlign val="subscript"/>
        <sz val="11"/>
        <color indexed="8"/>
        <rFont val="Arial"/>
        <family val="2"/>
      </rPr>
      <t>p</t>
    </r>
  </si>
  <si>
    <r>
      <t>r</t>
    </r>
    <r>
      <rPr>
        <i/>
        <vertAlign val="subscript"/>
        <sz val="11"/>
        <color indexed="8"/>
        <rFont val="Arial"/>
        <family val="2"/>
      </rPr>
      <t>m</t>
    </r>
  </si>
  <si>
    <r>
      <t>l</t>
    </r>
    <r>
      <rPr>
        <i/>
        <vertAlign val="subscript"/>
        <sz val="11"/>
        <color indexed="8"/>
        <rFont val="Times New Roman"/>
        <family val="1"/>
      </rPr>
      <t>r</t>
    </r>
  </si>
  <si>
    <r>
      <t>e</t>
    </r>
    <r>
      <rPr>
        <i/>
        <vertAlign val="subscript"/>
        <sz val="11"/>
        <color indexed="8"/>
        <rFont val="Arial"/>
        <family val="2"/>
      </rPr>
      <t>rc</t>
    </r>
  </si>
  <si>
    <r>
      <t>I</t>
    </r>
    <r>
      <rPr>
        <i/>
        <vertAlign val="subscript"/>
        <sz val="11"/>
        <color indexed="8"/>
        <rFont val="Arial"/>
        <family val="2"/>
      </rPr>
      <t>rc</t>
    </r>
  </si>
  <si>
    <r>
      <t>A</t>
    </r>
    <r>
      <rPr>
        <i/>
        <vertAlign val="subscript"/>
        <sz val="12"/>
        <color indexed="8"/>
        <rFont val="Arial"/>
        <family val="2"/>
      </rPr>
      <t>afronding</t>
    </r>
  </si>
  <si>
    <t>Scherpe hoeken</t>
  </si>
  <si>
    <t>Met afrondingsstraal</t>
  </si>
  <si>
    <r>
      <t>A</t>
    </r>
    <r>
      <rPr>
        <i/>
        <vertAlign val="subscript"/>
        <sz val="11"/>
        <color indexed="8"/>
        <rFont val="Arial"/>
        <family val="2"/>
      </rPr>
      <t>g;sh</t>
    </r>
  </si>
  <si>
    <r>
      <t>I</t>
    </r>
    <r>
      <rPr>
        <i/>
        <vertAlign val="subscript"/>
        <sz val="11"/>
        <color indexed="8"/>
        <rFont val="Arial"/>
        <family val="2"/>
      </rPr>
      <t>g;y;sh</t>
    </r>
  </si>
  <si>
    <r>
      <t>I</t>
    </r>
    <r>
      <rPr>
        <i/>
        <vertAlign val="subscript"/>
        <sz val="11"/>
        <color indexed="8"/>
        <rFont val="Arial"/>
        <family val="2"/>
      </rPr>
      <t>g;z;sh</t>
    </r>
  </si>
  <si>
    <r>
      <t>i</t>
    </r>
    <r>
      <rPr>
        <i/>
        <vertAlign val="subscript"/>
        <sz val="11"/>
        <color indexed="8"/>
        <rFont val="Arial"/>
        <family val="2"/>
      </rPr>
      <t>g;y;sh</t>
    </r>
  </si>
  <si>
    <r>
      <t>i</t>
    </r>
    <r>
      <rPr>
        <i/>
        <vertAlign val="subscript"/>
        <sz val="11"/>
        <color indexed="8"/>
        <rFont val="Arial"/>
        <family val="2"/>
      </rPr>
      <t>g;z;sh</t>
    </r>
  </si>
  <si>
    <r>
      <t>A</t>
    </r>
    <r>
      <rPr>
        <i/>
        <vertAlign val="subscript"/>
        <sz val="11"/>
        <color indexed="8"/>
        <rFont val="Arial"/>
        <family val="2"/>
      </rPr>
      <t>g</t>
    </r>
  </si>
  <si>
    <r>
      <t>y</t>
    </r>
    <r>
      <rPr>
        <i/>
        <vertAlign val="subscript"/>
        <sz val="11"/>
        <color indexed="8"/>
        <rFont val="Arial"/>
        <family val="2"/>
      </rPr>
      <t>g</t>
    </r>
  </si>
  <si>
    <r>
      <t>z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</si>
  <si>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g;z</t>
    </r>
  </si>
  <si>
    <r>
      <t>i</t>
    </r>
    <r>
      <rPr>
        <i/>
        <vertAlign val="subscript"/>
        <sz val="11"/>
        <color indexed="8"/>
        <rFont val="Arial"/>
        <family val="2"/>
      </rPr>
      <t>g;y</t>
    </r>
  </si>
  <si>
    <r>
      <t>i</t>
    </r>
    <r>
      <rPr>
        <i/>
        <vertAlign val="subscript"/>
        <sz val="11"/>
        <color indexed="8"/>
        <rFont val="Arial"/>
        <family val="2"/>
      </rPr>
      <t>g;z</t>
    </r>
  </si>
  <si>
    <t>(drukflens)</t>
  </si>
  <si>
    <r>
      <t>h</t>
    </r>
    <r>
      <rPr>
        <i/>
        <vertAlign val="subscript"/>
        <sz val="11"/>
        <color indexed="8"/>
        <rFont val="Arial"/>
        <family val="2"/>
      </rPr>
      <t xml:space="preserve">e1 </t>
    </r>
  </si>
  <si>
    <r>
      <t>h</t>
    </r>
    <r>
      <rPr>
        <i/>
        <vertAlign val="subscript"/>
        <sz val="11"/>
        <color indexed="8"/>
        <rFont val="Arial"/>
        <family val="2"/>
      </rPr>
      <t>e2</t>
    </r>
  </si>
  <si>
    <r>
      <t>h</t>
    </r>
    <r>
      <rPr>
        <i/>
        <vertAlign val="subscript"/>
        <sz val="11"/>
        <color indexed="8"/>
        <rFont val="Arial"/>
        <family val="2"/>
      </rPr>
      <t>eff1</t>
    </r>
  </si>
  <si>
    <r>
      <t>h</t>
    </r>
    <r>
      <rPr>
        <i/>
        <vertAlign val="subscript"/>
        <sz val="11"/>
        <color indexed="8"/>
        <rFont val="Arial"/>
        <family val="2"/>
      </rPr>
      <t>eff2</t>
    </r>
  </si>
  <si>
    <r>
      <t>h</t>
    </r>
    <r>
      <rPr>
        <i/>
        <vertAlign val="subscript"/>
        <sz val="11"/>
        <color indexed="8"/>
        <rFont val="Arial"/>
        <family val="2"/>
      </rPr>
      <t>eff1,m</t>
    </r>
  </si>
  <si>
    <r>
      <t>h</t>
    </r>
    <r>
      <rPr>
        <i/>
        <vertAlign val="subscript"/>
        <sz val="11"/>
        <color indexed="8"/>
        <rFont val="Arial"/>
        <family val="2"/>
      </rPr>
      <t>eff2,m</t>
    </r>
  </si>
  <si>
    <r>
      <t>h</t>
    </r>
    <r>
      <rPr>
        <i/>
        <vertAlign val="subscript"/>
        <sz val="11"/>
        <color indexed="8"/>
        <rFont val="Arial"/>
        <family val="2"/>
      </rPr>
      <t>eff1;v</t>
    </r>
  </si>
  <si>
    <r>
      <t>h</t>
    </r>
    <r>
      <rPr>
        <i/>
        <vertAlign val="subscript"/>
        <sz val="11"/>
        <color indexed="8"/>
        <rFont val="Arial"/>
        <family val="2"/>
      </rPr>
      <t>eff2;v</t>
    </r>
  </si>
  <si>
    <r>
      <t>b</t>
    </r>
    <r>
      <rPr>
        <i/>
        <vertAlign val="subscript"/>
        <sz val="11"/>
        <color indexed="8"/>
        <rFont val="Arial"/>
        <family val="2"/>
      </rPr>
      <t>e2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</si>
  <si>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e1 </t>
    </r>
  </si>
  <si>
    <r>
      <t>b</t>
    </r>
    <r>
      <rPr>
        <i/>
        <vertAlign val="subscript"/>
        <sz val="11"/>
        <color indexed="8"/>
        <rFont val="Arial"/>
        <family val="2"/>
      </rPr>
      <t>eff1</t>
    </r>
  </si>
  <si>
    <r>
      <t>b</t>
    </r>
    <r>
      <rPr>
        <i/>
        <vertAlign val="subscript"/>
        <sz val="11"/>
        <color indexed="8"/>
        <rFont val="Arial"/>
        <family val="2"/>
      </rPr>
      <t>eff2</t>
    </r>
  </si>
  <si>
    <r>
      <t>b</t>
    </r>
    <r>
      <rPr>
        <i/>
        <vertAlign val="subscript"/>
        <sz val="11"/>
        <color indexed="8"/>
        <rFont val="Arial"/>
        <family val="2"/>
      </rPr>
      <t>eff1,m</t>
    </r>
  </si>
  <si>
    <r>
      <t xml:space="preserve">1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0</t>
    </r>
  </si>
  <si>
    <r>
      <t xml:space="preserve">0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-1</t>
    </r>
  </si>
  <si>
    <r>
      <t xml:space="preserve">-1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-3</t>
    </r>
  </si>
  <si>
    <t>Waarde</t>
  </si>
  <si>
    <r>
      <t>Plaatdeel 2</t>
    </r>
    <r>
      <rPr>
        <sz val="11"/>
        <color indexed="8"/>
        <rFont val="Arial"/>
        <family val="2"/>
      </rPr>
      <t xml:space="preserve"> (lijf)</t>
    </r>
  </si>
  <si>
    <t>lip is volledig effectief</t>
  </si>
  <si>
    <r>
      <t>h</t>
    </r>
    <r>
      <rPr>
        <i/>
        <vertAlign val="subscript"/>
        <sz val="11"/>
        <color indexed="8"/>
        <rFont val="Arial"/>
        <family val="2"/>
      </rPr>
      <t>v</t>
    </r>
  </si>
  <si>
    <r>
      <t>h</t>
    </r>
    <r>
      <rPr>
        <i/>
        <vertAlign val="subscript"/>
        <sz val="11"/>
        <color indexed="8"/>
        <rFont val="Arial"/>
        <family val="2"/>
      </rPr>
      <t>p</t>
    </r>
  </si>
  <si>
    <r>
      <t>b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</si>
  <si>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v</t>
    </r>
  </si>
  <si>
    <r>
      <t>b</t>
    </r>
    <r>
      <rPr>
        <i/>
        <vertAlign val="subscript"/>
        <sz val="11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</si>
  <si>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</si>
  <si>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p</t>
    </r>
  </si>
  <si>
    <r>
      <t>I</t>
    </r>
    <r>
      <rPr>
        <i/>
        <vertAlign val="subscript"/>
        <sz val="11"/>
        <color indexed="8"/>
        <rFont val="Arial"/>
        <family val="2"/>
      </rPr>
      <t>g;y</t>
    </r>
  </si>
  <si>
    <r>
      <t>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r + t/2</t>
    </r>
  </si>
  <si>
    <r>
      <t>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(tan 45° - sin 45°)</t>
    </r>
  </si>
  <si>
    <r>
      <t>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0,637 * r</t>
    </r>
    <r>
      <rPr>
        <i/>
        <vertAlign val="subscript"/>
        <sz val="11"/>
        <color indexed="8"/>
        <rFont val="Arial"/>
        <family val="2"/>
      </rPr>
      <t>m</t>
    </r>
  </si>
  <si>
    <r>
      <t>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0,149 * r</t>
    </r>
    <r>
      <rPr>
        <i/>
        <vertAlign val="subscript"/>
        <sz val="11"/>
        <color indexed="8"/>
        <rFont val="Arial"/>
        <family val="2"/>
      </rPr>
      <t>m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</t>
    </r>
  </si>
  <si>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</si>
  <si>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</si>
  <si>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=h</t>
    </r>
    <r>
      <rPr>
        <i/>
        <vertAlign val="subscript"/>
        <sz val="11"/>
        <color indexed="8"/>
        <rFont val="Arial"/>
        <family val="2"/>
      </rPr>
      <t>w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</si>
  <si>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h – t</t>
    </r>
  </si>
  <si>
    <r>
      <t>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</si>
  <si>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</si>
  <si>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b – t</t>
    </r>
  </si>
  <si>
    <r>
      <t>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theme="1"/>
        <rFont val="Arial"/>
        <family val="2"/>
      </rPr>
      <t xml:space="preserve"> = c – ½ * t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</si>
  <si>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</si>
  <si>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</si>
  <si>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</si>
  <si>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g</t>
    </r>
    <r>
      <rPr>
        <i/>
        <vertAlign val="subscript"/>
        <sz val="11"/>
        <color indexed="8"/>
        <rFont val="Arial"/>
        <family val="2"/>
      </rPr>
      <t>r</t>
    </r>
  </si>
  <si>
    <r>
      <t>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(2 * 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(4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</t>
    </r>
  </si>
  <si>
    <r>
      <t>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*t)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½ * t))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 b)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 – (½ * t) +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 – (½ * t)) ]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(½ * t)</t>
    </r>
  </si>
  <si>
    <r>
      <t>z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</si>
  <si>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(2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(4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 + (2 *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h) – c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))²)))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</si>
  <si>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 + (2*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 *  (c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</si>
  <si>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</si>
  <si>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</si>
  <si>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t>Bepaling effectieve doorsnede van de drukflens</t>
  </si>
  <si>
    <t>Bepaling effectieve doorsnede van het lijf met randverstijving</t>
  </si>
  <si>
    <t>trekzone lijf</t>
  </si>
  <si>
    <t>drukzone lijf</t>
  </si>
  <si>
    <r>
      <rPr>
        <u/>
        <sz val="11"/>
        <color indexed="8"/>
        <rFont val="Arial"/>
        <family val="2"/>
      </rPr>
      <t>Plaatdeel 3</t>
    </r>
    <r>
      <rPr>
        <sz val="11"/>
        <color indexed="8"/>
        <rFont val="Arial"/>
        <family val="2"/>
      </rPr>
      <t xml:space="preserve"> (lip)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</si>
  <si>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1,m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</si>
  <si>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2,m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2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</si>
  <si>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1,v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1,m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</si>
  <si>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2,v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eff 2,m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</si>
  <si>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1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e1</t>
    </r>
    <r>
      <rPr>
        <i/>
        <sz val="11"/>
        <color indexed="8"/>
        <rFont val="Arial"/>
        <family val="2"/>
      </rPr>
      <t xml:space="preserve"> = 0,6 * h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</si>
  <si>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 2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e2</t>
    </r>
    <r>
      <rPr>
        <i/>
        <sz val="11"/>
        <color indexed="8"/>
        <rFont val="Arial"/>
        <family val="2"/>
      </rPr>
      <t xml:space="preserve"> = 0,4 * h</t>
    </r>
    <r>
      <rPr>
        <i/>
        <vertAlign val="subscript"/>
        <sz val="11"/>
        <color indexed="8"/>
        <rFont val="Arial"/>
        <family val="2"/>
      </rPr>
      <t>eff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</si>
  <si>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+ h</t>
    </r>
    <r>
      <rPr>
        <i/>
        <vertAlign val="subscript"/>
        <sz val="11"/>
        <color indexed="8"/>
        <rFont val="Arial"/>
        <family val="2"/>
      </rPr>
      <t>eff2,v</t>
    </r>
    <r>
      <rPr>
        <i/>
        <sz val="11"/>
        <color indexed="8"/>
        <rFont val="Arial"/>
        <family val="2"/>
      </rPr>
      <t xml:space="preserve"> + 2 * 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+ (4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+ 2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] * t </t>
    </r>
  </si>
  <si>
    <r>
      <t>y</t>
    </r>
    <r>
      <rPr>
        <i/>
        <vertAlign val="subscript"/>
        <sz val="11"/>
        <color indexed="8"/>
        <rFont val="Arial"/>
        <family val="2"/>
      </rPr>
      <t xml:space="preserve">eff  </t>
    </r>
    <r>
      <rPr>
        <i/>
        <sz val="11"/>
        <color indexed="8"/>
        <rFont val="Arial"/>
        <family val="2"/>
      </rPr>
      <t>= (t / 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* [ (2 * 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 xml:space="preserve">r </t>
    </r>
    <r>
      <rPr>
        <i/>
        <sz val="11"/>
        <color indexed="8"/>
        <rFont val="Arial"/>
        <family val="2"/>
      </rPr>
      <t>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+ 2 *b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( ½ * b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+ 2 * (b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 * (½ * (b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 + (bv - (b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+2 * 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+ 2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 xml:space="preserve">m </t>
    </r>
    <r>
      <rPr>
        <i/>
        <sz val="11"/>
        <color indexed="8"/>
        <rFont val="Arial"/>
        <family val="2"/>
      </rPr>
      <t>-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]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</si>
  <si>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= y</t>
    </r>
    <r>
      <rPr>
        <i/>
        <vertAlign val="subscript"/>
        <sz val="11"/>
        <color indexed="8"/>
        <rFont val="Arial"/>
        <family val="2"/>
      </rPr>
      <t xml:space="preserve">g  </t>
    </r>
    <r>
      <rPr>
        <i/>
        <sz val="11"/>
        <color indexed="8"/>
        <rFont val="Arial"/>
        <family val="2"/>
      </rPr>
      <t>-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</si>
  <si>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c </t>
    </r>
    <r>
      <rPr>
        <i/>
        <sz val="11"/>
        <color indexed="8"/>
        <rFont val="Arial"/>
        <family val="2"/>
      </rPr>
      <t>= b - b</t>
    </r>
    <r>
      <rPr>
        <i/>
        <vertAlign val="subscript"/>
        <sz val="11"/>
        <color indexed="8"/>
        <rFont val="Arial"/>
        <family val="2"/>
      </rPr>
      <t>t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</si>
  <si>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 </t>
    </r>
    <r>
      <rPr>
        <i/>
        <sz val="11"/>
        <color indexed="8"/>
        <rFont val="Arial"/>
        <family val="2"/>
      </rPr>
      <t>= ρ * b</t>
    </r>
    <r>
      <rPr>
        <i/>
        <vertAlign val="subscript"/>
        <sz val="11"/>
        <color indexed="8"/>
        <rFont val="Arial"/>
        <family val="2"/>
      </rPr>
      <t>c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</si>
  <si>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1,m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</si>
  <si>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Ψ</t>
    </r>
    <r>
      <rPr>
        <i/>
        <vertAlign val="subscript"/>
        <sz val="11"/>
        <color indexed="8"/>
        <rFont val="Arial"/>
        <family val="2"/>
      </rPr>
      <t xml:space="preserve"> </t>
    </r>
    <r>
      <rPr>
        <i/>
        <sz val="11"/>
        <color indexed="8"/>
        <rFont val="Arial"/>
        <family val="2"/>
      </rPr>
      <t>= -b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/b</t>
    </r>
    <r>
      <rPr>
        <i/>
        <vertAlign val="subscript"/>
        <sz val="11"/>
        <color indexed="8"/>
        <rFont val="Arial"/>
        <family val="2"/>
      </rPr>
      <t>c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</si>
  <si>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t;v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+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</si>
  <si>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eff2,v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- 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- b</t>
    </r>
    <r>
      <rPr>
        <i/>
        <vertAlign val="subscript"/>
        <sz val="11"/>
        <color indexed="8"/>
        <rFont val="Arial"/>
        <family val="2"/>
      </rPr>
      <t>eff1</t>
    </r>
    <r>
      <rPr>
        <i/>
        <sz val="11"/>
        <color indexed="8"/>
        <rFont val="Arial"/>
        <family val="2"/>
      </rPr>
      <t xml:space="preserve"> 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</si>
  <si>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eff1,v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eff1,m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</si>
  <si>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eff1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e1</t>
    </r>
    <r>
      <rPr>
        <i/>
        <sz val="11"/>
        <color indexed="8"/>
        <rFont val="Arial"/>
        <family val="2"/>
      </rPr>
      <t xml:space="preserve"> = 0,4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</si>
  <si>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eff2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e2</t>
    </r>
    <r>
      <rPr>
        <i/>
        <sz val="11"/>
        <color indexed="8"/>
        <rFont val="Arial"/>
        <family val="2"/>
      </rPr>
      <t xml:space="preserve"> = 0,6 * b</t>
    </r>
    <r>
      <rPr>
        <i/>
        <vertAlign val="subscript"/>
        <sz val="11"/>
        <color indexed="8"/>
        <rFont val="Arial"/>
        <family val="2"/>
      </rPr>
      <t>eff</t>
    </r>
  </si>
  <si>
    <r>
      <t>I</t>
    </r>
    <r>
      <rPr>
        <i/>
        <vertAlign val="subscript"/>
        <sz val="11"/>
        <color indexed="8"/>
        <rFont val="Arial"/>
        <family val="2"/>
      </rPr>
      <t>eff,z,h</t>
    </r>
    <r>
      <rPr>
        <i/>
        <sz val="11"/>
        <color indexed="8"/>
        <rFont val="Arial"/>
        <family val="2"/>
      </rPr>
      <t xml:space="preserve"> = (h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+ h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 * t * y</t>
    </r>
    <r>
      <rPr>
        <i/>
        <vertAlign val="subscript"/>
        <sz val="11"/>
        <color indexed="8"/>
        <rFont val="Arial"/>
        <family val="2"/>
      </rPr>
      <t xml:space="preserve">eff </t>
    </r>
    <r>
      <rPr>
        <i/>
        <vertAlign val="superscript"/>
        <sz val="11"/>
        <color indexed="8"/>
        <rFont val="Arial"/>
        <family val="2"/>
      </rPr>
      <t>2</t>
    </r>
  </si>
  <si>
    <r>
      <t>I</t>
    </r>
    <r>
      <rPr>
        <i/>
        <vertAlign val="subscript"/>
        <sz val="11"/>
        <color indexed="8"/>
        <rFont val="Arial"/>
        <family val="2"/>
      </rPr>
      <t>eff,z,b</t>
    </r>
    <r>
      <rPr>
        <i/>
        <sz val="11"/>
        <color indexed="8"/>
        <rFont val="Arial"/>
        <family val="2"/>
      </rPr>
      <t xml:space="preserve"> = 2/12 * t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+ 2 * t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 * (½ *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t,v</t>
    </r>
    <r>
      <rPr>
        <i/>
        <sz val="11"/>
        <color indexed="8"/>
        <rFont val="Arial"/>
        <family val="2"/>
      </rPr>
      <t>) - 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+ 2/12 * t * b</t>
    </r>
    <r>
      <rPr>
        <i/>
        <vertAlign val="subscript"/>
        <sz val="11"/>
        <color indexed="8"/>
        <rFont val="Arial"/>
        <family val="2"/>
      </rPr>
      <t>eff1;v</t>
    </r>
    <r>
      <rPr>
        <i/>
        <vertAlign val="superscript"/>
        <sz val="11"/>
        <color indexed="8"/>
        <rFont val="Arial"/>
        <family val="2"/>
      </rPr>
      <t xml:space="preserve">3 </t>
    </r>
    <r>
      <rPr>
        <i/>
        <sz val="11"/>
        <color indexed="8"/>
        <rFont val="Arial"/>
        <family val="2"/>
      </rPr>
      <t>+ 2 * t * b</t>
    </r>
    <r>
      <rPr>
        <i/>
        <vertAlign val="subscript"/>
        <sz val="11"/>
        <color indexed="8"/>
        <rFont val="Arial"/>
        <family val="2"/>
      </rPr>
      <t>eff1;v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</t>
    </r>
    <r>
      <rPr>
        <i/>
        <vertAlign val="superscript"/>
        <sz val="11"/>
        <color indexed="8"/>
        <rFont val="Arial"/>
        <family val="2"/>
      </rPr>
      <t>1</t>
    </r>
    <r>
      <rPr>
        <i/>
        <sz val="11"/>
        <color indexed="8"/>
        <rFont val="Arial"/>
        <family val="2"/>
      </rPr>
      <t>/</t>
    </r>
    <r>
      <rPr>
        <i/>
        <vertAlign val="sub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b</t>
    </r>
    <r>
      <rPr>
        <i/>
        <vertAlign val="subscript"/>
        <sz val="11"/>
        <color indexed="8"/>
        <rFont val="Arial"/>
        <family val="2"/>
      </rPr>
      <t>eff1;v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</si>
  <si>
    <r>
      <t>I</t>
    </r>
    <r>
      <rPr>
        <i/>
        <vertAlign val="subscript"/>
        <sz val="11"/>
        <color indexed="8"/>
        <rFont val="Arial"/>
        <family val="2"/>
      </rPr>
      <t>eff,z,c</t>
    </r>
    <r>
      <rPr>
        <i/>
        <sz val="11"/>
        <color indexed="8"/>
        <rFont val="Arial"/>
        <family val="2"/>
      </rPr>
      <t xml:space="preserve"> = 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* t</t>
    </r>
  </si>
  <si>
    <r>
      <t>I</t>
    </r>
    <r>
      <rPr>
        <i/>
        <vertAlign val="subscript"/>
        <sz val="11"/>
        <color indexed="8"/>
        <rFont val="Arial"/>
        <family val="2"/>
      </rPr>
      <t>eff,z,rc</t>
    </r>
    <r>
      <rPr>
        <i/>
        <sz val="11"/>
        <color indexed="8"/>
        <rFont val="Arial"/>
        <family val="2"/>
      </rPr>
      <t xml:space="preserve"> = 4 * 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+ 2 * A</t>
    </r>
    <r>
      <rPr>
        <i/>
        <vertAlign val="subscript"/>
        <sz val="11"/>
        <color indexed="8"/>
        <rFont val="Arial"/>
        <family val="2"/>
      </rPr>
      <t>afr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 xml:space="preserve">eff </t>
    </r>
    <r>
      <rPr>
        <i/>
        <sz val="11"/>
        <color indexed="8"/>
        <rFont val="Arial"/>
        <family val="2"/>
      </rPr>
      <t>-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+ 2 * A</t>
    </r>
    <r>
      <rPr>
        <i/>
        <vertAlign val="subscript"/>
        <sz val="11"/>
        <color indexed="8"/>
        <rFont val="Arial"/>
        <family val="2"/>
      </rPr>
      <t>afr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-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</t>
    </r>
    <r>
      <rPr>
        <i/>
        <vertAlign val="superscript"/>
        <sz val="11"/>
        <color indexed="8"/>
        <rFont val="Arial"/>
        <family val="2"/>
      </rPr>
      <t>2</t>
    </r>
  </si>
  <si>
    <r>
      <t>I</t>
    </r>
    <r>
      <rPr>
        <i/>
        <vertAlign val="subscript"/>
        <sz val="11"/>
        <color indexed="8"/>
        <rFont val="Arial"/>
        <family val="2"/>
      </rPr>
      <t>eff,z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eff,z,h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eff,z,b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eff,c</t>
    </r>
    <r>
      <rPr>
        <i/>
        <sz val="11"/>
        <color indexed="8"/>
        <rFont val="Arial"/>
        <family val="2"/>
      </rPr>
      <t xml:space="preserve"> + I</t>
    </r>
    <r>
      <rPr>
        <i/>
        <vertAlign val="subscript"/>
        <sz val="11"/>
        <color indexed="8"/>
        <rFont val="Arial"/>
        <family val="2"/>
      </rPr>
      <t>eff,z,rc</t>
    </r>
    <r>
      <rPr>
        <i/>
        <sz val="11"/>
        <color indexed="8"/>
        <rFont val="Arial"/>
        <family val="2"/>
      </rPr>
      <t xml:space="preserve"> 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</si>
  <si>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+ h</t>
    </r>
    <r>
      <rPr>
        <i/>
        <vertAlign val="subscript"/>
        <sz val="11"/>
        <color indexed="8"/>
        <rFont val="Arial"/>
        <family val="2"/>
      </rPr>
      <t>eff2,v</t>
    </r>
    <r>
      <rPr>
        <i/>
        <sz val="11"/>
        <color indexed="8"/>
        <rFont val="Arial"/>
        <family val="2"/>
      </rPr>
      <t xml:space="preserve"> + (2 * (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) + (4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+ 2 * 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] * t </t>
    </r>
  </si>
  <si>
    <r>
      <t>y</t>
    </r>
    <r>
      <rPr>
        <i/>
        <vertAlign val="subscript"/>
        <sz val="11"/>
        <color indexed="8"/>
        <rFont val="Arial"/>
        <family val="2"/>
      </rPr>
      <t xml:space="preserve">eff  </t>
    </r>
    <r>
      <rPr>
        <i/>
        <sz val="11"/>
        <color indexed="8"/>
        <rFont val="Arial"/>
        <family val="2"/>
      </rPr>
      <t>= (t / 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* [ (2 * 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 xml:space="preserve">r </t>
    </r>
    <r>
      <rPr>
        <i/>
        <sz val="11"/>
        <color indexed="8"/>
        <rFont val="Arial"/>
        <family val="2"/>
      </rPr>
      <t>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+ 2 *b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( ½ * b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+ 2 * (b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 * (½ * (b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- (b</t>
    </r>
    <r>
      <rPr>
        <i/>
        <vertAlign val="subscript"/>
        <sz val="11"/>
        <color indexed="8"/>
        <rFont val="Arial"/>
        <family val="2"/>
      </rPr>
      <t>eff2;v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t;v</t>
    </r>
    <r>
      <rPr>
        <i/>
        <sz val="11"/>
        <color indexed="8"/>
        <rFont val="Arial"/>
        <family val="2"/>
      </rPr>
      <t>))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+2 * 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+ 2 *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]</t>
    </r>
  </si>
  <si>
    <r>
      <t>W</t>
    </r>
    <r>
      <rPr>
        <i/>
        <vertAlign val="subscript"/>
        <sz val="11"/>
        <color indexed="8"/>
        <rFont val="Arial"/>
        <family val="2"/>
      </rPr>
      <t>eff,z,com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eff,z</t>
    </r>
    <r>
      <rPr>
        <i/>
        <sz val="11"/>
        <color indexed="8"/>
        <rFont val="Arial"/>
        <family val="2"/>
      </rPr>
      <t xml:space="preserve"> / (y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+t/2</t>
    </r>
    <r>
      <rPr>
        <i/>
        <vertAlign val="subscript"/>
        <sz val="11"/>
        <color indexed="8"/>
        <rFont val="Arial"/>
        <family val="2"/>
      </rPr>
      <t>)</t>
    </r>
    <r>
      <rPr>
        <i/>
        <sz val="11"/>
        <color indexed="8"/>
        <rFont val="Arial"/>
        <family val="2"/>
      </rPr>
      <t xml:space="preserve"> </t>
    </r>
  </si>
  <si>
    <r>
      <t>W</t>
    </r>
    <r>
      <rPr>
        <i/>
        <vertAlign val="subscript"/>
        <sz val="11"/>
        <color indexed="8"/>
        <rFont val="Arial"/>
        <family val="2"/>
      </rPr>
      <t>eff,z,ten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eff,z</t>
    </r>
    <r>
      <rPr>
        <i/>
        <sz val="11"/>
        <color indexed="8"/>
        <rFont val="Arial"/>
        <family val="2"/>
      </rPr>
      <t xml:space="preserve"> /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y</t>
    </r>
    <r>
      <rPr>
        <i/>
        <vertAlign val="subscript"/>
        <sz val="11"/>
        <color indexed="8"/>
        <rFont val="Arial"/>
        <family val="2"/>
      </rPr>
      <t>eff+</t>
    </r>
    <r>
      <rPr>
        <i/>
        <sz val="11"/>
        <color indexed="8"/>
        <rFont val="Arial"/>
        <family val="2"/>
      </rPr>
      <t>t/2)</t>
    </r>
  </si>
  <si>
    <t>C-Mz1: Berekening effectieve profieldoorsnede</t>
  </si>
  <si>
    <t>Bepaling eigenschappen effectieve profieldoorsnede</t>
  </si>
  <si>
    <t>Profieleigenschappen niet gereduceerde dwarsdoorsnede</t>
  </si>
  <si>
    <r>
      <rPr>
        <b/>
        <sz val="11"/>
        <color indexed="8"/>
        <rFont val="Arial"/>
        <family val="2"/>
      </rPr>
      <t>Bepaling initiële ligging van de neutrale lij</t>
    </r>
    <r>
      <rPr>
        <b/>
        <sz val="14"/>
        <color indexed="8"/>
        <rFont val="Arial"/>
        <family val="2"/>
      </rPr>
      <t>n</t>
    </r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</si>
</sst>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0"/>
    <numFmt numFmtId="166" formatCode="0.0000"/>
    <numFmt numFmtId="167" formatCode="0.0"/>
    <numFmt numFmtId="168" formatCode="0.000000"/>
    <numFmt numFmtId="169" formatCode="0.0000000"/>
  </numFmts>
  <fonts count="6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vertAlign val="subscript"/>
      <sz val="11"/>
      <color indexed="8"/>
      <name val="Arial"/>
      <family val="2"/>
    </font>
    <font>
      <i/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vertAlign val="subscript"/>
      <sz val="12"/>
      <color indexed="8"/>
      <name val="Arial"/>
      <family val="2"/>
    </font>
    <font>
      <i/>
      <vertAlign val="subscript"/>
      <sz val="12"/>
      <color indexed="8"/>
      <name val="Arial"/>
      <family val="2"/>
    </font>
    <font>
      <i/>
      <sz val="9"/>
      <name val="Arial"/>
      <family val="2"/>
    </font>
    <font>
      <vertAlign val="subscript"/>
      <sz val="11"/>
      <color indexed="8"/>
      <name val="Times New Roman"/>
      <family val="1"/>
    </font>
    <font>
      <sz val="10"/>
      <color indexed="8"/>
      <name val="Times New Roman"/>
      <family val="1"/>
    </font>
    <font>
      <vertAlign val="subscript"/>
      <sz val="10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Brush Script MT"/>
      <family val="4"/>
    </font>
    <font>
      <vertAlign val="subscript"/>
      <sz val="10"/>
      <color indexed="8"/>
      <name val="Times New Roman"/>
      <family val="1"/>
    </font>
    <font>
      <sz val="10"/>
      <color indexed="8"/>
      <name val="Brush Script MT"/>
      <family val="4"/>
    </font>
    <font>
      <vertAlign val="superscript"/>
      <sz val="10"/>
      <color indexed="8"/>
      <name val="Times New Roman"/>
      <family val="1"/>
    </font>
    <font>
      <vertAlign val="subscript"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Arial"/>
      <family val="2"/>
    </font>
    <font>
      <i/>
      <vertAlign val="sub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sz val="11"/>
      <color indexed="30"/>
      <name val="Arial"/>
      <family val="2"/>
    </font>
    <font>
      <sz val="12"/>
      <color indexed="8"/>
      <name val="Arial"/>
      <family val="2"/>
    </font>
    <font>
      <u/>
      <sz val="11"/>
      <color indexed="8"/>
      <name val="Arial"/>
      <family val="2"/>
    </font>
    <font>
      <b/>
      <sz val="14"/>
      <color indexed="8"/>
      <name val="Arial"/>
      <family val="2"/>
    </font>
    <font>
      <i/>
      <sz val="9"/>
      <color indexed="8"/>
      <name val="Arial"/>
      <family val="2"/>
    </font>
    <font>
      <b/>
      <sz val="30"/>
      <color indexed="8"/>
      <name val="Calibri"/>
      <family val="2"/>
    </font>
    <font>
      <sz val="11"/>
      <color indexed="8"/>
      <name val="Mistral"/>
      <family val="4"/>
    </font>
    <font>
      <sz val="14"/>
      <color indexed="8"/>
      <name val="Mistral"/>
      <family val="4"/>
    </font>
    <font>
      <sz val="16"/>
      <color indexed="8"/>
      <name val="Mistral"/>
      <family val="4"/>
    </font>
    <font>
      <b/>
      <u/>
      <sz val="14"/>
      <color indexed="10"/>
      <name val="Calibri"/>
      <family val="2"/>
    </font>
    <font>
      <sz val="11"/>
      <color indexed="9"/>
      <name val="Arial"/>
      <family val="2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Brush Script MT"/>
      <family val="4"/>
    </font>
    <font>
      <sz val="12"/>
      <color indexed="8"/>
      <name val="Times New Roman"/>
      <family val="1"/>
    </font>
    <font>
      <sz val="10"/>
      <color indexed="8"/>
      <name val="Arial"/>
      <family val="2"/>
    </font>
    <font>
      <sz val="10"/>
      <color indexed="8"/>
      <name val="Mistral"/>
      <family val="4"/>
    </font>
    <font>
      <sz val="11"/>
      <color indexed="40"/>
      <name val="Arial"/>
      <family val="2"/>
    </font>
    <font>
      <sz val="12"/>
      <color indexed="10"/>
      <name val="Arial"/>
      <family val="2"/>
    </font>
    <font>
      <b/>
      <sz val="20"/>
      <color indexed="8"/>
      <name val="Arial"/>
      <family val="2"/>
    </font>
    <font>
      <sz val="8"/>
      <name val="Calibri"/>
      <family val="2"/>
    </font>
    <font>
      <i/>
      <sz val="11"/>
      <color indexed="8"/>
      <name val="Arial"/>
      <family val="2"/>
    </font>
    <font>
      <b/>
      <vertAlign val="subscript"/>
      <sz val="20"/>
      <color indexed="8"/>
      <name val="Arial"/>
      <family val="2"/>
    </font>
    <font>
      <i/>
      <sz val="11"/>
      <color indexed="8"/>
      <name val="Times New Roman"/>
      <family val="1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20"/>
      <color indexed="8"/>
      <name val="Arial"/>
      <family val="2"/>
    </font>
    <font>
      <i/>
      <sz val="16"/>
      <color indexed="8"/>
      <name val="Mistral"/>
      <family val="4"/>
    </font>
    <font>
      <i/>
      <vertAlign val="subscript"/>
      <sz val="11"/>
      <color indexed="8"/>
      <name val="Times New Roman"/>
      <family val="1"/>
    </font>
    <font>
      <i/>
      <sz val="12"/>
      <color indexed="8"/>
      <name val="Arial"/>
      <family val="2"/>
    </font>
    <font>
      <i/>
      <sz val="10"/>
      <color indexed="8"/>
      <name val="Times New Roman"/>
      <family val="1"/>
    </font>
    <font>
      <i/>
      <vertAlign val="superscript"/>
      <sz val="11"/>
      <color indexed="8"/>
      <name val="Arial"/>
      <family val="2"/>
    </font>
    <font>
      <i/>
      <sz val="11"/>
      <color indexed="8"/>
      <name val="Mistral"/>
      <family val="4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medium">
        <color indexed="64"/>
      </right>
      <top style="thin">
        <color indexed="9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6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Fill="1" applyBorder="1"/>
    <xf numFmtId="0" fontId="25" fillId="0" borderId="0" xfId="0" applyFont="1"/>
    <xf numFmtId="0" fontId="25" fillId="0" borderId="0" xfId="0" applyFont="1" applyFill="1" applyBorder="1"/>
    <xf numFmtId="0" fontId="26" fillId="0" borderId="0" xfId="0" applyFont="1" applyBorder="1"/>
    <xf numFmtId="0" fontId="25" fillId="0" borderId="0" xfId="0" applyFont="1" applyBorder="1"/>
    <xf numFmtId="0" fontId="26" fillId="0" borderId="0" xfId="0" applyFont="1" applyFill="1" applyBorder="1"/>
    <xf numFmtId="0" fontId="27" fillId="0" borderId="0" xfId="0" applyFont="1" applyBorder="1"/>
    <xf numFmtId="0" fontId="2" fillId="0" borderId="0" xfId="0" applyFont="1" applyFill="1" applyBorder="1" applyProtection="1"/>
    <xf numFmtId="0" fontId="28" fillId="0" borderId="0" xfId="0" applyFont="1" applyFill="1" applyBorder="1"/>
    <xf numFmtId="0" fontId="25" fillId="0" borderId="3" xfId="0" applyFont="1" applyFill="1" applyBorder="1"/>
    <xf numFmtId="0" fontId="2" fillId="0" borderId="3" xfId="0" applyFont="1" applyFill="1" applyBorder="1" applyProtection="1"/>
    <xf numFmtId="0" fontId="25" fillId="0" borderId="4" xfId="0" applyFont="1" applyBorder="1"/>
    <xf numFmtId="0" fontId="25" fillId="0" borderId="1" xfId="0" applyFont="1" applyFill="1" applyBorder="1"/>
    <xf numFmtId="0" fontId="25" fillId="0" borderId="4" xfId="0" applyFont="1" applyFill="1" applyBorder="1"/>
    <xf numFmtId="0" fontId="25" fillId="0" borderId="5" xfId="0" applyFont="1" applyFill="1" applyBorder="1"/>
    <xf numFmtId="0" fontId="26" fillId="0" borderId="1" xfId="0" applyFont="1" applyFill="1" applyBorder="1"/>
    <xf numFmtId="0" fontId="25" fillId="0" borderId="2" xfId="0" applyFont="1" applyFill="1" applyBorder="1"/>
    <xf numFmtId="0" fontId="2" fillId="0" borderId="2" xfId="0" applyFont="1" applyFill="1" applyBorder="1" applyProtection="1"/>
    <xf numFmtId="0" fontId="26" fillId="0" borderId="6" xfId="0" applyFont="1" applyFill="1" applyBorder="1"/>
    <xf numFmtId="0" fontId="26" fillId="0" borderId="0" xfId="0" applyFont="1" applyFill="1" applyBorder="1" applyAlignment="1">
      <alignment horizontal="left"/>
    </xf>
    <xf numFmtId="0" fontId="25" fillId="0" borderId="7" xfId="0" applyFont="1" applyFill="1" applyBorder="1"/>
    <xf numFmtId="0" fontId="25" fillId="0" borderId="8" xfId="0" applyFont="1" applyFill="1" applyBorder="1"/>
    <xf numFmtId="2" fontId="29" fillId="0" borderId="0" xfId="0" applyNumberFormat="1" applyFont="1" applyFill="1" applyBorder="1"/>
    <xf numFmtId="0" fontId="28" fillId="0" borderId="0" xfId="0" applyFont="1" applyFill="1" applyBorder="1" applyProtection="1"/>
    <xf numFmtId="0" fontId="25" fillId="0" borderId="0" xfId="0" applyFont="1" applyAlignment="1">
      <alignment horizontal="left"/>
    </xf>
    <xf numFmtId="0" fontId="26" fillId="0" borderId="0" xfId="0" applyFont="1" applyBorder="1" applyAlignment="1">
      <alignment horizontal="center"/>
    </xf>
    <xf numFmtId="0" fontId="25" fillId="0" borderId="1" xfId="0" applyFont="1" applyBorder="1"/>
    <xf numFmtId="0" fontId="25" fillId="0" borderId="5" xfId="0" applyFont="1" applyBorder="1"/>
    <xf numFmtId="0" fontId="25" fillId="0" borderId="0" xfId="0" applyFont="1" applyFill="1"/>
    <xf numFmtId="0" fontId="30" fillId="0" borderId="0" xfId="0" applyFont="1" applyBorder="1"/>
    <xf numFmtId="0" fontId="30" fillId="0" borderId="0" xfId="0" applyFont="1" applyFill="1"/>
    <xf numFmtId="0" fontId="28" fillId="0" borderId="0" xfId="0" applyFont="1"/>
    <xf numFmtId="0" fontId="25" fillId="0" borderId="9" xfId="0" quotePrefix="1" applyFont="1" applyBorder="1" applyAlignment="1">
      <alignment horizontal="left"/>
    </xf>
    <xf numFmtId="0" fontId="26" fillId="0" borderId="0" xfId="0" applyFont="1" applyFill="1"/>
    <xf numFmtId="2" fontId="25" fillId="0" borderId="0" xfId="0" applyNumberFormat="1" applyFont="1" applyFill="1" applyBorder="1" applyAlignment="1"/>
    <xf numFmtId="0" fontId="25" fillId="0" borderId="0" xfId="0" applyFont="1" applyAlignment="1"/>
    <xf numFmtId="2" fontId="25" fillId="0" borderId="0" xfId="0" applyNumberFormat="1" applyFont="1" applyAlignment="1">
      <alignment horizontal="left"/>
    </xf>
    <xf numFmtId="0" fontId="0" fillId="0" borderId="3" xfId="0" applyBorder="1"/>
    <xf numFmtId="0" fontId="25" fillId="0" borderId="3" xfId="0" applyFont="1" applyBorder="1"/>
    <xf numFmtId="0" fontId="26" fillId="0" borderId="10" xfId="0" applyFont="1" applyBorder="1"/>
    <xf numFmtId="0" fontId="25" fillId="0" borderId="11" xfId="0" applyFont="1" applyBorder="1"/>
    <xf numFmtId="0" fontId="25" fillId="0" borderId="12" xfId="0" applyFont="1" applyBorder="1"/>
    <xf numFmtId="0" fontId="32" fillId="0" borderId="10" xfId="0" applyFont="1" applyFill="1" applyBorder="1"/>
    <xf numFmtId="0" fontId="2" fillId="0" borderId="11" xfId="0" applyFont="1" applyFill="1" applyBorder="1"/>
    <xf numFmtId="0" fontId="32" fillId="0" borderId="10" xfId="0" applyFont="1" applyBorder="1"/>
    <xf numFmtId="0" fontId="25" fillId="0" borderId="11" xfId="0" applyFont="1" applyFill="1" applyBorder="1"/>
    <xf numFmtId="2" fontId="25" fillId="0" borderId="0" xfId="0" applyNumberFormat="1" applyFont="1" applyFill="1" applyBorder="1"/>
    <xf numFmtId="0" fontId="30" fillId="0" borderId="11" xfId="0" applyFont="1" applyBorder="1"/>
    <xf numFmtId="0" fontId="0" fillId="0" borderId="8" xfId="0" applyBorder="1"/>
    <xf numFmtId="0" fontId="23" fillId="0" borderId="0" xfId="0" applyFont="1" applyBorder="1"/>
    <xf numFmtId="0" fontId="0" fillId="0" borderId="4" xfId="0" applyBorder="1"/>
    <xf numFmtId="0" fontId="25" fillId="0" borderId="4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0" fillId="0" borderId="1" xfId="0" applyFont="1" applyFill="1" applyBorder="1"/>
    <xf numFmtId="0" fontId="30" fillId="0" borderId="5" xfId="0" applyFont="1" applyFill="1" applyBorder="1"/>
    <xf numFmtId="0" fontId="25" fillId="0" borderId="13" xfId="0" applyFont="1" applyFill="1" applyBorder="1"/>
    <xf numFmtId="0" fontId="30" fillId="0" borderId="14" xfId="0" applyFont="1" applyFill="1" applyBorder="1"/>
    <xf numFmtId="0" fontId="30" fillId="0" borderId="15" xfId="0" applyFont="1" applyFill="1" applyBorder="1"/>
    <xf numFmtId="0" fontId="2" fillId="0" borderId="16" xfId="0" applyFont="1" applyFill="1" applyBorder="1"/>
    <xf numFmtId="1" fontId="2" fillId="0" borderId="9" xfId="0" applyNumberFormat="1" applyFont="1" applyFill="1" applyBorder="1"/>
    <xf numFmtId="0" fontId="2" fillId="0" borderId="9" xfId="0" applyFont="1" applyFill="1" applyBorder="1"/>
    <xf numFmtId="0" fontId="2" fillId="0" borderId="17" xfId="0" applyFont="1" applyFill="1" applyBorder="1"/>
    <xf numFmtId="0" fontId="25" fillId="0" borderId="17" xfId="0" applyFont="1" applyFill="1" applyBorder="1"/>
    <xf numFmtId="2" fontId="25" fillId="0" borderId="16" xfId="0" applyNumberFormat="1" applyFont="1" applyFill="1" applyBorder="1"/>
    <xf numFmtId="2" fontId="25" fillId="0" borderId="9" xfId="0" applyNumberFormat="1" applyFont="1" applyFill="1" applyBorder="1"/>
    <xf numFmtId="2" fontId="25" fillId="0" borderId="17" xfId="0" applyNumberFormat="1" applyFont="1" applyFill="1" applyBorder="1"/>
    <xf numFmtId="2" fontId="25" fillId="0" borderId="18" xfId="0" applyNumberFormat="1" applyFont="1" applyFill="1" applyBorder="1"/>
    <xf numFmtId="2" fontId="25" fillId="0" borderId="19" xfId="0" applyNumberFormat="1" applyFont="1" applyFill="1" applyBorder="1"/>
    <xf numFmtId="2" fontId="25" fillId="0" borderId="20" xfId="0" applyNumberFormat="1" applyFont="1" applyFill="1" applyBorder="1"/>
    <xf numFmtId="0" fontId="25" fillId="0" borderId="9" xfId="0" applyFont="1" applyFill="1" applyBorder="1"/>
    <xf numFmtId="0" fontId="30" fillId="0" borderId="9" xfId="0" applyFont="1" applyFill="1" applyBorder="1"/>
    <xf numFmtId="0" fontId="30" fillId="0" borderId="21" xfId="0" applyFont="1" applyBorder="1"/>
    <xf numFmtId="0" fontId="25" fillId="0" borderId="21" xfId="0" applyFont="1" applyFill="1" applyBorder="1"/>
    <xf numFmtId="0" fontId="30" fillId="0" borderId="22" xfId="0" applyFont="1" applyBorder="1"/>
    <xf numFmtId="2" fontId="25" fillId="0" borderId="19" xfId="0" applyNumberFormat="1" applyFont="1" applyFill="1" applyBorder="1" applyAlignment="1">
      <alignment horizontal="right"/>
    </xf>
    <xf numFmtId="0" fontId="10" fillId="0" borderId="0" xfId="0" applyFont="1"/>
    <xf numFmtId="0" fontId="25" fillId="0" borderId="8" xfId="0" applyFont="1" applyBorder="1"/>
    <xf numFmtId="0" fontId="32" fillId="0" borderId="1" xfId="0" applyFont="1" applyFill="1" applyBorder="1"/>
    <xf numFmtId="0" fontId="25" fillId="0" borderId="6" xfId="0" applyFont="1" applyFill="1" applyBorder="1"/>
    <xf numFmtId="0" fontId="33" fillId="0" borderId="6" xfId="0" applyFont="1" applyFill="1" applyBorder="1"/>
    <xf numFmtId="0" fontId="10" fillId="0" borderId="0" xfId="0" applyFont="1" applyAlignment="1"/>
    <xf numFmtId="0" fontId="25" fillId="0" borderId="14" xfId="0" applyFont="1" applyFill="1" applyBorder="1"/>
    <xf numFmtId="0" fontId="25" fillId="0" borderId="14" xfId="0" applyFont="1" applyBorder="1"/>
    <xf numFmtId="0" fontId="30" fillId="0" borderId="0" xfId="0" applyFont="1" applyAlignment="1">
      <alignment horizontal="center"/>
    </xf>
    <xf numFmtId="0" fontId="26" fillId="0" borderId="23" xfId="0" applyFont="1" applyBorder="1" applyAlignment="1"/>
    <xf numFmtId="0" fontId="26" fillId="0" borderId="24" xfId="0" applyFont="1" applyBorder="1" applyAlignment="1">
      <alignment horizontal="left"/>
    </xf>
    <xf numFmtId="0" fontId="31" fillId="0" borderId="6" xfId="0" applyFont="1" applyBorder="1"/>
    <xf numFmtId="0" fontId="31" fillId="0" borderId="3" xfId="0" applyFont="1" applyBorder="1"/>
    <xf numFmtId="164" fontId="26" fillId="0" borderId="0" xfId="0" applyNumberFormat="1" applyFont="1" applyBorder="1"/>
    <xf numFmtId="0" fontId="34" fillId="0" borderId="0" xfId="0" applyFont="1" applyAlignment="1">
      <alignment vertical="center" textRotation="90"/>
    </xf>
    <xf numFmtId="0" fontId="25" fillId="0" borderId="0" xfId="0" applyFont="1" applyFill="1" applyBorder="1" applyAlignment="1"/>
    <xf numFmtId="0" fontId="26" fillId="0" borderId="3" xfId="0" applyFont="1" applyFill="1" applyBorder="1"/>
    <xf numFmtId="0" fontId="2" fillId="0" borderId="3" xfId="0" applyFont="1" applyFill="1" applyBorder="1"/>
    <xf numFmtId="0" fontId="0" fillId="0" borderId="5" xfId="0" applyBorder="1"/>
    <xf numFmtId="0" fontId="0" fillId="0" borderId="25" xfId="0" applyBorder="1"/>
    <xf numFmtId="0" fontId="0" fillId="0" borderId="26" xfId="0" applyBorder="1"/>
    <xf numFmtId="0" fontId="25" fillId="0" borderId="26" xfId="0" applyFont="1" applyFill="1" applyBorder="1"/>
    <xf numFmtId="0" fontId="26" fillId="0" borderId="26" xfId="0" applyFont="1" applyFill="1" applyBorder="1"/>
    <xf numFmtId="0" fontId="25" fillId="0" borderId="27" xfId="0" applyFont="1" applyFill="1" applyBorder="1"/>
    <xf numFmtId="0" fontId="25" fillId="0" borderId="0" xfId="0" applyFont="1" applyBorder="1" applyAlignment="1">
      <alignment horizontal="left"/>
    </xf>
    <xf numFmtId="0" fontId="26" fillId="0" borderId="0" xfId="0" applyFont="1" applyFill="1" applyBorder="1" applyAlignment="1"/>
    <xf numFmtId="2" fontId="26" fillId="0" borderId="0" xfId="0" applyNumberFormat="1" applyFont="1" applyFill="1" applyBorder="1" applyAlignment="1"/>
    <xf numFmtId="0" fontId="35" fillId="0" borderId="0" xfId="0" applyFont="1"/>
    <xf numFmtId="0" fontId="36" fillId="0" borderId="0" xfId="0" applyFont="1"/>
    <xf numFmtId="0" fontId="30" fillId="0" borderId="17" xfId="0" applyFont="1" applyFill="1" applyBorder="1"/>
    <xf numFmtId="0" fontId="25" fillId="0" borderId="15" xfId="0" applyFont="1" applyFill="1" applyBorder="1"/>
    <xf numFmtId="0" fontId="33" fillId="0" borderId="0" xfId="0" applyFont="1" applyBorder="1" applyAlignment="1">
      <alignment vertical="center"/>
    </xf>
    <xf numFmtId="0" fontId="37" fillId="0" borderId="1" xfId="0" applyFont="1" applyBorder="1"/>
    <xf numFmtId="0" fontId="25" fillId="0" borderId="0" xfId="0" applyFont="1" applyBorder="1" applyAlignment="1"/>
    <xf numFmtId="0" fontId="25" fillId="0" borderId="0" xfId="0" quotePrefix="1" applyFont="1" applyBorder="1" applyAlignment="1">
      <alignment horizontal="left"/>
    </xf>
    <xf numFmtId="2" fontId="25" fillId="0" borderId="4" xfId="0" applyNumberFormat="1" applyFont="1" applyFill="1" applyBorder="1" applyAlignment="1">
      <alignment horizontal="right"/>
    </xf>
    <xf numFmtId="165" fontId="25" fillId="0" borderId="0" xfId="0" applyNumberFormat="1" applyFont="1"/>
    <xf numFmtId="0" fontId="25" fillId="0" borderId="28" xfId="0" quotePrefix="1" applyFont="1" applyBorder="1" applyAlignment="1">
      <alignment horizontal="left"/>
    </xf>
    <xf numFmtId="0" fontId="25" fillId="0" borderId="0" xfId="0" quotePrefix="1" applyFont="1" applyBorder="1" applyAlignment="1">
      <alignment horizontal="right"/>
    </xf>
    <xf numFmtId="0" fontId="38" fillId="0" borderId="0" xfId="0" applyFont="1" applyBorder="1"/>
    <xf numFmtId="0" fontId="24" fillId="0" borderId="0" xfId="0" applyFont="1"/>
    <xf numFmtId="2" fontId="0" fillId="0" borderId="0" xfId="0" applyNumberFormat="1"/>
    <xf numFmtId="2" fontId="25" fillId="0" borderId="0" xfId="0" applyNumberFormat="1" applyFont="1" applyFill="1"/>
    <xf numFmtId="166" fontId="25" fillId="0" borderId="0" xfId="0" applyNumberFormat="1" applyFont="1" applyFill="1" applyBorder="1" applyAlignment="1">
      <alignment horizontal="right"/>
    </xf>
    <xf numFmtId="2" fontId="2" fillId="0" borderId="19" xfId="0" applyNumberFormat="1" applyFont="1" applyFill="1" applyBorder="1"/>
    <xf numFmtId="0" fontId="0" fillId="0" borderId="0" xfId="0" applyBorder="1" applyAlignment="1">
      <alignment horizontal="left"/>
    </xf>
    <xf numFmtId="0" fontId="33" fillId="0" borderId="1" xfId="0" applyFont="1" applyFill="1" applyBorder="1"/>
    <xf numFmtId="0" fontId="25" fillId="0" borderId="0" xfId="0" applyFont="1" applyFill="1" applyBorder="1" applyAlignment="1">
      <alignment horizontal="left"/>
    </xf>
    <xf numFmtId="0" fontId="25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/>
    </xf>
    <xf numFmtId="0" fontId="30" fillId="0" borderId="0" xfId="0" applyFont="1" applyAlignment="1">
      <alignment horizontal="left"/>
    </xf>
    <xf numFmtId="167" fontId="25" fillId="0" borderId="0" xfId="0" applyNumberFormat="1" applyFont="1" applyFill="1" applyBorder="1" applyAlignment="1">
      <alignment horizontal="left"/>
    </xf>
    <xf numFmtId="0" fontId="39" fillId="0" borderId="0" xfId="0" applyFont="1"/>
    <xf numFmtId="0" fontId="26" fillId="0" borderId="0" xfId="0" applyFont="1" applyBorder="1" applyAlignment="1">
      <alignment horizontal="left"/>
    </xf>
    <xf numFmtId="0" fontId="25" fillId="0" borderId="29" xfId="0" applyFont="1" applyBorder="1"/>
    <xf numFmtId="2" fontId="25" fillId="0" borderId="19" xfId="0" applyNumberFormat="1" applyFont="1" applyBorder="1"/>
    <xf numFmtId="2" fontId="2" fillId="0" borderId="0" xfId="0" applyNumberFormat="1" applyFont="1" applyFill="1" applyBorder="1"/>
    <xf numFmtId="2" fontId="0" fillId="0" borderId="0" xfId="0" applyNumberFormat="1" applyBorder="1"/>
    <xf numFmtId="0" fontId="0" fillId="0" borderId="0" xfId="0" applyBorder="1" applyAlignment="1"/>
    <xf numFmtId="0" fontId="25" fillId="0" borderId="5" xfId="0" applyFont="1" applyBorder="1" applyAlignment="1"/>
    <xf numFmtId="0" fontId="25" fillId="0" borderId="2" xfId="0" applyFont="1" applyBorder="1" applyAlignment="1"/>
    <xf numFmtId="0" fontId="40" fillId="0" borderId="1" xfId="0" applyFont="1" applyFill="1" applyBorder="1"/>
    <xf numFmtId="167" fontId="25" fillId="0" borderId="0" xfId="0" applyNumberFormat="1" applyFont="1" applyBorder="1"/>
    <xf numFmtId="167" fontId="25" fillId="0" borderId="19" xfId="0" applyNumberFormat="1" applyFont="1" applyBorder="1"/>
    <xf numFmtId="167" fontId="25" fillId="0" borderId="20" xfId="0" applyNumberFormat="1" applyFont="1" applyBorder="1" applyAlignment="1"/>
    <xf numFmtId="2" fontId="25" fillId="0" borderId="0" xfId="0" applyNumberFormat="1" applyFont="1" applyFill="1" applyBorder="1" applyAlignment="1">
      <alignment horizontal="left"/>
    </xf>
    <xf numFmtId="0" fontId="25" fillId="0" borderId="9" xfId="0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2" fontId="25" fillId="0" borderId="0" xfId="0" applyNumberFormat="1" applyFont="1" applyFill="1" applyBorder="1" applyAlignment="1">
      <alignment horizontal="right"/>
    </xf>
    <xf numFmtId="164" fontId="25" fillId="0" borderId="0" xfId="0" applyNumberFormat="1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167" fontId="25" fillId="0" borderId="0" xfId="0" applyNumberFormat="1" applyFont="1" applyBorder="1" applyAlignment="1"/>
    <xf numFmtId="0" fontId="26" fillId="0" borderId="32" xfId="0" applyFont="1" applyBorder="1"/>
    <xf numFmtId="2" fontId="25" fillId="0" borderId="30" xfId="0" applyNumberFormat="1" applyFont="1" applyBorder="1" applyAlignment="1">
      <alignment horizontal="right"/>
    </xf>
    <xf numFmtId="2" fontId="25" fillId="0" borderId="4" xfId="0" applyNumberFormat="1" applyFont="1" applyFill="1" applyBorder="1" applyAlignment="1"/>
    <xf numFmtId="164" fontId="25" fillId="0" borderId="19" xfId="0" applyNumberFormat="1" applyFont="1" applyBorder="1" applyAlignment="1">
      <alignment horizontal="right"/>
    </xf>
    <xf numFmtId="2" fontId="25" fillId="0" borderId="19" xfId="0" applyNumberFormat="1" applyFont="1" applyBorder="1" applyAlignment="1">
      <alignment horizontal="right"/>
    </xf>
    <xf numFmtId="164" fontId="2" fillId="0" borderId="30" xfId="0" applyNumberFormat="1" applyFont="1" applyFill="1" applyBorder="1" applyProtection="1"/>
    <xf numFmtId="164" fontId="2" fillId="0" borderId="19" xfId="0" applyNumberFormat="1" applyFont="1" applyFill="1" applyBorder="1"/>
    <xf numFmtId="0" fontId="41" fillId="0" borderId="0" xfId="0" applyFont="1"/>
    <xf numFmtId="0" fontId="42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3" fillId="0" borderId="0" xfId="0" applyFont="1"/>
    <xf numFmtId="0" fontId="42" fillId="0" borderId="0" xfId="0" applyFont="1"/>
    <xf numFmtId="0" fontId="44" fillId="0" borderId="0" xfId="0" applyFont="1" applyBorder="1"/>
    <xf numFmtId="0" fontId="45" fillId="0" borderId="0" xfId="0" applyFont="1" applyBorder="1"/>
    <xf numFmtId="0" fontId="44" fillId="0" borderId="0" xfId="0" applyFont="1" applyFill="1" applyBorder="1"/>
    <xf numFmtId="0" fontId="46" fillId="0" borderId="1" xfId="0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5" fillId="0" borderId="14" xfId="0" applyFont="1" applyFill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5" fillId="0" borderId="9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/>
    </xf>
    <xf numFmtId="0" fontId="41" fillId="0" borderId="0" xfId="0" applyFont="1" applyAlignment="1">
      <alignment horizontal="left"/>
    </xf>
    <xf numFmtId="0" fontId="41" fillId="0" borderId="0" xfId="0" applyFont="1" applyBorder="1"/>
    <xf numFmtId="2" fontId="2" fillId="0" borderId="9" xfId="0" applyNumberFormat="1" applyFont="1" applyFill="1" applyBorder="1"/>
    <xf numFmtId="2" fontId="29" fillId="0" borderId="0" xfId="0" applyNumberFormat="1" applyFont="1" applyFill="1" applyBorder="1" applyAlignment="1"/>
    <xf numFmtId="2" fontId="29" fillId="0" borderId="0" xfId="0" applyNumberFormat="1" applyFont="1" applyBorder="1" applyAlignment="1"/>
    <xf numFmtId="0" fontId="25" fillId="0" borderId="33" xfId="0" applyFont="1" applyBorder="1" applyAlignment="1">
      <alignment horizontal="left"/>
    </xf>
    <xf numFmtId="0" fontId="25" fillId="0" borderId="17" xfId="0" applyFont="1" applyBorder="1" applyAlignment="1">
      <alignment horizontal="left"/>
    </xf>
    <xf numFmtId="167" fontId="28" fillId="0" borderId="0" xfId="0" applyNumberFormat="1" applyFont="1" applyBorder="1"/>
    <xf numFmtId="168" fontId="25" fillId="0" borderId="0" xfId="0" applyNumberFormat="1" applyFont="1" applyBorder="1"/>
    <xf numFmtId="169" fontId="25" fillId="0" borderId="0" xfId="0" applyNumberFormat="1" applyFont="1" applyBorder="1" applyAlignment="1"/>
    <xf numFmtId="0" fontId="21" fillId="0" borderId="0" xfId="0" applyFont="1" applyFill="1" applyBorder="1" applyAlignment="1">
      <alignment horizontal="left"/>
    </xf>
    <xf numFmtId="169" fontId="25" fillId="0" borderId="0" xfId="0" quotePrefix="1" applyNumberFormat="1" applyFont="1" applyBorder="1" applyAlignment="1">
      <alignment horizontal="right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right"/>
    </xf>
    <xf numFmtId="2" fontId="21" fillId="0" borderId="0" xfId="0" applyNumberFormat="1" applyFont="1" applyFill="1" applyBorder="1"/>
    <xf numFmtId="0" fontId="21" fillId="0" borderId="0" xfId="0" applyFont="1" applyBorder="1"/>
    <xf numFmtId="0" fontId="0" fillId="0" borderId="2" xfId="0" applyBorder="1" applyAlignment="1"/>
    <xf numFmtId="0" fontId="21" fillId="0" borderId="0" xfId="0" applyFont="1" applyFill="1" applyBorder="1" applyAlignment="1"/>
    <xf numFmtId="2" fontId="21" fillId="0" borderId="0" xfId="0" applyNumberFormat="1" applyFont="1" applyFill="1" applyBorder="1" applyAlignment="1">
      <alignment vertical="distributed"/>
    </xf>
    <xf numFmtId="2" fontId="29" fillId="0" borderId="0" xfId="0" applyNumberFormat="1" applyFont="1" applyFill="1" applyBorder="1" applyAlignment="1">
      <alignment vertical="center"/>
    </xf>
    <xf numFmtId="167" fontId="29" fillId="0" borderId="0" xfId="0" applyNumberFormat="1" applyFont="1" applyBorder="1" applyAlignment="1">
      <alignment vertical="center"/>
    </xf>
    <xf numFmtId="167" fontId="25" fillId="0" borderId="9" xfId="0" applyNumberFormat="1" applyFont="1" applyFill="1" applyBorder="1"/>
    <xf numFmtId="0" fontId="28" fillId="0" borderId="0" xfId="0" applyFont="1" applyBorder="1"/>
    <xf numFmtId="0" fontId="47" fillId="0" borderId="0" xfId="0" applyFont="1" applyBorder="1"/>
    <xf numFmtId="0" fontId="12" fillId="0" borderId="0" xfId="0" applyFont="1"/>
    <xf numFmtId="167" fontId="25" fillId="0" borderId="0" xfId="0" applyNumberFormat="1" applyFont="1" applyFill="1"/>
    <xf numFmtId="167" fontId="25" fillId="0" borderId="0" xfId="0" applyNumberFormat="1" applyFont="1" applyFill="1" applyBorder="1"/>
    <xf numFmtId="0" fontId="20" fillId="0" borderId="0" xfId="0" applyFont="1"/>
    <xf numFmtId="0" fontId="0" fillId="0" borderId="0" xfId="0" applyBorder="1" applyAlignment="1">
      <alignment vertical="center"/>
    </xf>
    <xf numFmtId="164" fontId="29" fillId="0" borderId="0" xfId="0" applyNumberFormat="1" applyFont="1" applyBorder="1" applyAlignment="1">
      <alignment vertical="center"/>
    </xf>
    <xf numFmtId="2" fontId="2" fillId="0" borderId="34" xfId="0" applyNumberFormat="1" applyFont="1" applyFill="1" applyBorder="1"/>
    <xf numFmtId="2" fontId="25" fillId="0" borderId="28" xfId="0" applyNumberFormat="1" applyFont="1" applyFill="1" applyBorder="1"/>
    <xf numFmtId="0" fontId="25" fillId="0" borderId="28" xfId="0" applyFont="1" applyFill="1" applyBorder="1"/>
    <xf numFmtId="0" fontId="25" fillId="0" borderId="36" xfId="0" applyFont="1" applyFill="1" applyBorder="1" applyAlignment="1">
      <alignment vertical="center"/>
    </xf>
    <xf numFmtId="0" fontId="0" fillId="0" borderId="37" xfId="0" applyBorder="1"/>
    <xf numFmtId="0" fontId="25" fillId="0" borderId="38" xfId="0" applyFont="1" applyFill="1" applyBorder="1"/>
    <xf numFmtId="0" fontId="2" fillId="0" borderId="0" xfId="0" applyFont="1" applyFill="1" applyBorder="1"/>
    <xf numFmtId="0" fontId="31" fillId="0" borderId="1" xfId="0" applyFont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0" fillId="0" borderId="0" xfId="0" applyBorder="1"/>
    <xf numFmtId="0" fontId="25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0" fontId="25" fillId="0" borderId="7" xfId="0" applyFont="1" applyFill="1" applyBorder="1" applyAlignment="1">
      <alignment horizontal="center"/>
    </xf>
    <xf numFmtId="0" fontId="25" fillId="0" borderId="0" xfId="0" applyFont="1" applyBorder="1" applyAlignment="1">
      <alignment horizontal="left"/>
    </xf>
    <xf numFmtId="0" fontId="25" fillId="0" borderId="0" xfId="0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0" fontId="50" fillId="0" borderId="1" xfId="0" applyFont="1" applyFill="1" applyBorder="1"/>
    <xf numFmtId="0" fontId="48" fillId="0" borderId="0" xfId="0" applyFont="1"/>
    <xf numFmtId="0" fontId="50" fillId="0" borderId="0" xfId="0" applyFont="1" applyFill="1" applyBorder="1"/>
    <xf numFmtId="0" fontId="52" fillId="0" borderId="0" xfId="0" applyFont="1" applyFill="1" applyBorder="1"/>
    <xf numFmtId="0" fontId="50" fillId="0" borderId="0" xfId="0" applyFont="1" applyBorder="1"/>
    <xf numFmtId="0" fontId="21" fillId="0" borderId="0" xfId="0" applyFont="1" applyAlignment="1">
      <alignment horizontal="left"/>
    </xf>
    <xf numFmtId="0" fontId="50" fillId="0" borderId="0" xfId="0" applyFont="1" applyBorder="1" applyAlignment="1">
      <alignment horizontal="right"/>
    </xf>
    <xf numFmtId="0" fontId="50" fillId="0" borderId="0" xfId="0" applyFont="1" applyFill="1" applyBorder="1" applyAlignment="1">
      <alignment horizontal="right"/>
    </xf>
    <xf numFmtId="0" fontId="50" fillId="0" borderId="1" xfId="0" applyFont="1" applyFill="1" applyBorder="1" applyAlignment="1">
      <alignment vertical="center"/>
    </xf>
    <xf numFmtId="0" fontId="53" fillId="0" borderId="1" xfId="0" applyFont="1" applyBorder="1" applyAlignment="1">
      <alignment vertical="center"/>
    </xf>
    <xf numFmtId="0" fontId="54" fillId="0" borderId="1" xfId="0" applyFont="1" applyBorder="1" applyAlignment="1">
      <alignment vertical="center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55" fillId="0" borderId="0" xfId="0" applyFont="1"/>
    <xf numFmtId="0" fontId="50" fillId="0" borderId="6" xfId="0" applyFont="1" applyFill="1" applyBorder="1"/>
    <xf numFmtId="0" fontId="52" fillId="0" borderId="1" xfId="0" applyFont="1" applyFill="1" applyBorder="1"/>
    <xf numFmtId="0" fontId="50" fillId="0" borderId="1" xfId="0" applyFont="1" applyBorder="1"/>
    <xf numFmtId="0" fontId="50" fillId="0" borderId="5" xfId="0" applyFont="1" applyBorder="1"/>
    <xf numFmtId="0" fontId="50" fillId="0" borderId="5" xfId="0" applyFont="1" applyFill="1" applyBorder="1"/>
    <xf numFmtId="0" fontId="56" fillId="0" borderId="1" xfId="0" applyFont="1" applyBorder="1"/>
    <xf numFmtId="0" fontId="58" fillId="0" borderId="5" xfId="0" applyFont="1" applyFill="1" applyBorder="1"/>
    <xf numFmtId="0" fontId="26" fillId="0" borderId="6" xfId="0" applyFont="1" applyBorder="1"/>
    <xf numFmtId="0" fontId="0" fillId="0" borderId="0" xfId="0" applyBorder="1"/>
    <xf numFmtId="0" fontId="25" fillId="0" borderId="0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25" fillId="0" borderId="9" xfId="0" applyFont="1" applyBorder="1" applyAlignment="1">
      <alignment horizontal="left" vertical="center"/>
    </xf>
    <xf numFmtId="2" fontId="25" fillId="0" borderId="20" xfId="0" applyNumberFormat="1" applyFont="1" applyFill="1" applyBorder="1" applyAlignment="1">
      <alignment horizontal="right"/>
    </xf>
    <xf numFmtId="0" fontId="25" fillId="0" borderId="11" xfId="0" applyFont="1" applyFill="1" applyBorder="1" applyAlignment="1">
      <alignment horizontal="center"/>
    </xf>
    <xf numFmtId="0" fontId="25" fillId="0" borderId="11" xfId="0" applyFont="1" applyBorder="1" applyAlignment="1">
      <alignment horizontal="left"/>
    </xf>
    <xf numFmtId="0" fontId="25" fillId="0" borderId="11" xfId="0" applyFont="1" applyFill="1" applyBorder="1" applyAlignment="1">
      <alignment horizontal="left"/>
    </xf>
    <xf numFmtId="2" fontId="25" fillId="0" borderId="12" xfId="0" applyNumberFormat="1" applyFont="1" applyFill="1" applyBorder="1"/>
    <xf numFmtId="0" fontId="6" fillId="0" borderId="10" xfId="0" applyFont="1" applyFill="1" applyBorder="1" applyAlignment="1">
      <alignment horizontal="left" vertical="center"/>
    </xf>
    <xf numFmtId="0" fontId="50" fillId="0" borderId="28" xfId="0" applyFont="1" applyFill="1" applyBorder="1" applyAlignment="1">
      <alignment horizontal="left"/>
    </xf>
    <xf numFmtId="0" fontId="50" fillId="0" borderId="14" xfId="0" applyFont="1" applyFill="1" applyBorder="1"/>
    <xf numFmtId="0" fontId="50" fillId="0" borderId="9" xfId="0" applyFont="1" applyFill="1" applyBorder="1"/>
    <xf numFmtId="0" fontId="50" fillId="0" borderId="9" xfId="0" applyFont="1" applyBorder="1" applyAlignment="1">
      <alignment horizontal="left"/>
    </xf>
    <xf numFmtId="0" fontId="50" fillId="0" borderId="31" xfId="0" applyFont="1" applyFill="1" applyBorder="1"/>
    <xf numFmtId="0" fontId="50" fillId="0" borderId="33" xfId="0" applyFont="1" applyBorder="1" applyAlignment="1">
      <alignment horizontal="left"/>
    </xf>
    <xf numFmtId="0" fontId="50" fillId="0" borderId="17" xfId="0" applyFont="1" applyFill="1" applyBorder="1"/>
    <xf numFmtId="0" fontId="50" fillId="0" borderId="0" xfId="0" applyFont="1" applyBorder="1" applyAlignment="1">
      <alignment horizontal="left"/>
    </xf>
    <xf numFmtId="0" fontId="50" fillId="0" borderId="11" xfId="0" applyFont="1" applyBorder="1" applyAlignment="1">
      <alignment horizontal="left"/>
    </xf>
    <xf numFmtId="2" fontId="2" fillId="0" borderId="12" xfId="0" applyNumberFormat="1" applyFont="1" applyFill="1" applyBorder="1"/>
    <xf numFmtId="0" fontId="25" fillId="0" borderId="0" xfId="0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0" fontId="25" fillId="0" borderId="2" xfId="0" applyFont="1" applyBorder="1" applyAlignment="1">
      <alignment horizontal="left"/>
    </xf>
    <xf numFmtId="0" fontId="25" fillId="0" borderId="44" xfId="0" applyFont="1" applyBorder="1" applyAlignment="1">
      <alignment horizontal="left"/>
    </xf>
    <xf numFmtId="0" fontId="25" fillId="0" borderId="0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50" fillId="0" borderId="13" xfId="0" applyFont="1" applyFill="1" applyBorder="1"/>
    <xf numFmtId="0" fontId="50" fillId="0" borderId="15" xfId="0" applyFont="1" applyFill="1" applyBorder="1"/>
    <xf numFmtId="0" fontId="50" fillId="0" borderId="35" xfId="0" applyFont="1" applyBorder="1"/>
    <xf numFmtId="0" fontId="50" fillId="0" borderId="21" xfId="0" applyFont="1" applyFill="1" applyBorder="1"/>
    <xf numFmtId="0" fontId="50" fillId="0" borderId="21" xfId="0" applyFont="1" applyBorder="1"/>
    <xf numFmtId="0" fontId="50" fillId="0" borderId="22" xfId="0" applyFont="1" applyBorder="1"/>
    <xf numFmtId="0" fontId="50" fillId="0" borderId="28" xfId="0" applyFont="1" applyFill="1" applyBorder="1"/>
    <xf numFmtId="0" fontId="50" fillId="0" borderId="0" xfId="0" applyFont="1"/>
    <xf numFmtId="0" fontId="50" fillId="0" borderId="0" xfId="0" applyFont="1" applyAlignment="1">
      <alignment vertical="center"/>
    </xf>
    <xf numFmtId="0" fontId="62" fillId="0" borderId="0" xfId="0" applyFont="1"/>
    <xf numFmtId="0" fontId="50" fillId="0" borderId="0" xfId="0" applyFont="1" applyFill="1" applyAlignment="1">
      <alignment horizontal="left"/>
    </xf>
    <xf numFmtId="0" fontId="53" fillId="0" borderId="0" xfId="0" applyFont="1" applyAlignment="1">
      <alignment horizontal="left"/>
    </xf>
    <xf numFmtId="0" fontId="50" fillId="0" borderId="0" xfId="0" applyFont="1" applyAlignment="1"/>
    <xf numFmtId="0" fontId="59" fillId="0" borderId="0" xfId="0" applyFont="1" applyAlignment="1"/>
    <xf numFmtId="0" fontId="26" fillId="0" borderId="10" xfId="0" applyFont="1" applyFill="1" applyBorder="1"/>
    <xf numFmtId="0" fontId="26" fillId="0" borderId="48" xfId="0" applyFont="1" applyBorder="1"/>
    <xf numFmtId="2" fontId="25" fillId="0" borderId="0" xfId="0" applyNumberFormat="1" applyFont="1" applyBorder="1"/>
    <xf numFmtId="0" fontId="50" fillId="0" borderId="17" xfId="0" applyFont="1" applyBorder="1" applyAlignment="1">
      <alignment horizontal="left"/>
    </xf>
    <xf numFmtId="2" fontId="25" fillId="0" borderId="20" xfId="0" applyNumberFormat="1" applyFont="1" applyBorder="1"/>
    <xf numFmtId="0" fontId="21" fillId="0" borderId="5" xfId="0" applyFont="1" applyBorder="1" applyAlignment="1">
      <alignment horizontal="left"/>
    </xf>
    <xf numFmtId="0" fontId="21" fillId="0" borderId="15" xfId="0" applyFont="1" applyBorder="1" applyAlignment="1">
      <alignment horizontal="left"/>
    </xf>
    <xf numFmtId="0" fontId="50" fillId="0" borderId="2" xfId="0" applyFont="1" applyBorder="1" applyAlignment="1">
      <alignment horizontal="left"/>
    </xf>
    <xf numFmtId="2" fontId="2" fillId="0" borderId="7" xfId="0" applyNumberFormat="1" applyFont="1" applyFill="1" applyBorder="1"/>
    <xf numFmtId="0" fontId="26" fillId="0" borderId="10" xfId="0" applyFont="1" applyBorder="1" applyAlignment="1">
      <alignment horizontal="left"/>
    </xf>
    <xf numFmtId="0" fontId="48" fillId="0" borderId="39" xfId="0" applyFont="1" applyBorder="1" applyAlignment="1">
      <alignment horizontal="center" vertical="center" textRotation="90"/>
    </xf>
    <xf numFmtId="0" fontId="48" fillId="0" borderId="31" xfId="0" applyFont="1" applyBorder="1" applyAlignment="1">
      <alignment horizontal="center" vertical="center" textRotation="90"/>
    </xf>
    <xf numFmtId="0" fontId="48" fillId="0" borderId="40" xfId="0" applyFont="1" applyBorder="1" applyAlignment="1">
      <alignment horizontal="center" vertical="center" textRotation="90"/>
    </xf>
    <xf numFmtId="2" fontId="25" fillId="0" borderId="0" xfId="0" applyNumberFormat="1" applyFont="1" applyFill="1" applyBorder="1" applyAlignment="1">
      <alignment horizontal="left"/>
    </xf>
    <xf numFmtId="0" fontId="26" fillId="0" borderId="1" xfId="0" applyFont="1" applyFill="1" applyBorder="1" applyAlignment="1">
      <alignment horizontal="center"/>
    </xf>
    <xf numFmtId="0" fontId="0" fillId="0" borderId="0" xfId="0" applyBorder="1"/>
    <xf numFmtId="0" fontId="25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0" fontId="25" fillId="0" borderId="7" xfId="0" applyFont="1" applyFill="1" applyBorder="1" applyAlignment="1">
      <alignment horizontal="center"/>
    </xf>
    <xf numFmtId="2" fontId="26" fillId="0" borderId="5" xfId="0" applyNumberFormat="1" applyFont="1" applyFill="1" applyBorder="1" applyAlignment="1">
      <alignment horizontal="center"/>
    </xf>
    <xf numFmtId="2" fontId="26" fillId="0" borderId="2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31" fillId="0" borderId="1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21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left"/>
    </xf>
    <xf numFmtId="0" fontId="31" fillId="0" borderId="1" xfId="0" applyFont="1" applyBorder="1" applyAlignment="1">
      <alignment horizontal="center"/>
    </xf>
    <xf numFmtId="0" fontId="31" fillId="0" borderId="3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31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0" borderId="31" xfId="0" applyFont="1" applyBorder="1" applyAlignment="1">
      <alignment horizontal="left"/>
    </xf>
    <xf numFmtId="0" fontId="31" fillId="0" borderId="5" xfId="0" applyFont="1" applyBorder="1" applyAlignment="1">
      <alignment horizontal="left"/>
    </xf>
    <xf numFmtId="0" fontId="31" fillId="0" borderId="44" xfId="0" applyFont="1" applyBorder="1" applyAlignment="1">
      <alignment horizontal="left"/>
    </xf>
    <xf numFmtId="0" fontId="25" fillId="0" borderId="15" xfId="0" applyFont="1" applyBorder="1" applyAlignment="1">
      <alignment horizontal="left"/>
    </xf>
    <xf numFmtId="0" fontId="25" fillId="0" borderId="2" xfId="0" applyFont="1" applyBorder="1" applyAlignment="1">
      <alignment horizontal="left"/>
    </xf>
    <xf numFmtId="0" fontId="25" fillId="0" borderId="44" xfId="0" applyFont="1" applyBorder="1" applyAlignment="1">
      <alignment horizontal="left"/>
    </xf>
    <xf numFmtId="0" fontId="21" fillId="0" borderId="1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5" fillId="0" borderId="14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46" xfId="0" applyFont="1" applyBorder="1" applyAlignment="1">
      <alignment horizontal="center"/>
    </xf>
    <xf numFmtId="0" fontId="25" fillId="0" borderId="47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26" xfId="0" applyFont="1" applyBorder="1" applyAlignment="1">
      <alignment horizontal="center"/>
    </xf>
    <xf numFmtId="0" fontId="25" fillId="0" borderId="27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8" xfId="0" applyFont="1" applyFill="1" applyBorder="1" applyAlignment="1">
      <alignment horizontal="center"/>
    </xf>
    <xf numFmtId="0" fontId="31" fillId="0" borderId="41" xfId="0" applyFont="1" applyBorder="1" applyAlignment="1">
      <alignment horizontal="left"/>
    </xf>
    <xf numFmtId="0" fontId="31" fillId="0" borderId="39" xfId="0" applyFont="1" applyBorder="1" applyAlignment="1">
      <alignment horizontal="left"/>
    </xf>
    <xf numFmtId="0" fontId="25" fillId="0" borderId="36" xfId="0" applyFont="1" applyBorder="1" applyAlignment="1">
      <alignment horizontal="left"/>
    </xf>
    <xf numFmtId="0" fontId="25" fillId="0" borderId="37" xfId="0" applyFont="1" applyBorder="1" applyAlignment="1">
      <alignment horizontal="left"/>
    </xf>
    <xf numFmtId="0" fontId="25" fillId="0" borderId="39" xfId="0" applyFont="1" applyBorder="1" applyAlignment="1">
      <alignment horizontal="left"/>
    </xf>
    <xf numFmtId="0" fontId="26" fillId="0" borderId="42" xfId="0" applyFont="1" applyBorder="1" applyAlignment="1">
      <alignment horizontal="left"/>
    </xf>
    <xf numFmtId="0" fontId="26" fillId="0" borderId="29" xfId="0" applyFont="1" applyBorder="1" applyAlignment="1">
      <alignment horizontal="left"/>
    </xf>
    <xf numFmtId="0" fontId="26" fillId="0" borderId="43" xfId="0" applyFont="1" applyBorder="1" applyAlignment="1">
      <alignment horizontal="left"/>
    </xf>
    <xf numFmtId="0" fontId="25" fillId="0" borderId="5" xfId="0" applyFont="1" applyBorder="1" applyAlignment="1">
      <alignment horizontal="center"/>
    </xf>
    <xf numFmtId="0" fontId="25" fillId="0" borderId="44" xfId="0" applyFont="1" applyBorder="1" applyAlignment="1">
      <alignment horizontal="center"/>
    </xf>
    <xf numFmtId="0" fontId="31" fillId="0" borderId="31" xfId="0" applyFont="1" applyBorder="1" applyAlignment="1">
      <alignment horizontal="left"/>
    </xf>
    <xf numFmtId="0" fontId="26" fillId="0" borderId="31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6" fillId="0" borderId="31" xfId="0" applyFont="1" applyBorder="1" applyAlignment="1">
      <alignment horizontal="left"/>
    </xf>
    <xf numFmtId="0" fontId="21" fillId="0" borderId="14" xfId="0" quotePrefix="1" applyFont="1" applyBorder="1" applyAlignment="1">
      <alignment horizontal="center"/>
    </xf>
    <xf numFmtId="0" fontId="25" fillId="0" borderId="0" xfId="0" quotePrefix="1" applyFont="1" applyBorder="1" applyAlignment="1">
      <alignment horizontal="center"/>
    </xf>
    <xf numFmtId="0" fontId="25" fillId="0" borderId="31" xfId="0" quotePrefix="1" applyFont="1" applyBorder="1" applyAlignment="1">
      <alignment horizontal="center"/>
    </xf>
    <xf numFmtId="0" fontId="21" fillId="0" borderId="14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50" fillId="0" borderId="0" xfId="0" applyFont="1" applyAlignment="1">
      <alignment horizontal="left"/>
    </xf>
    <xf numFmtId="0" fontId="59" fillId="0" borderId="0" xfId="0" applyFont="1" applyAlignment="1">
      <alignment horizontal="left"/>
    </xf>
    <xf numFmtId="0" fontId="25" fillId="0" borderId="25" xfId="0" applyFont="1" applyBorder="1" applyAlignment="1">
      <alignment horizontal="left"/>
    </xf>
    <xf numFmtId="0" fontId="25" fillId="0" borderId="40" xfId="0" applyFont="1" applyBorder="1" applyAlignment="1">
      <alignment horizontal="left"/>
    </xf>
    <xf numFmtId="0" fontId="25" fillId="0" borderId="45" xfId="0" applyFont="1" applyBorder="1" applyAlignment="1">
      <alignment horizontal="left"/>
    </xf>
    <xf numFmtId="0" fontId="25" fillId="0" borderId="26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2" fontId="21" fillId="0" borderId="0" xfId="0" applyNumberFormat="1" applyFont="1" applyFill="1" applyBorder="1" applyAlignment="1">
      <alignment horizontal="left" vertical="distributed"/>
    </xf>
    <xf numFmtId="2" fontId="21" fillId="0" borderId="4" xfId="0" applyNumberFormat="1" applyFont="1" applyFill="1" applyBorder="1" applyAlignment="1">
      <alignment horizontal="left" vertical="distributed"/>
    </xf>
  </cellXfs>
  <cellStyles count="1">
    <cellStyle name="Standaard" xfId="0" builtinId="0"/>
  </cellStyles>
  <dxfs count="3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wmf"/><Relationship Id="rId2" Type="http://schemas.openxmlformats.org/officeDocument/2006/relationships/image" Target="../media/image6.w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2</xdr:row>
      <xdr:rowOff>9525</xdr:rowOff>
    </xdr:from>
    <xdr:to>
      <xdr:col>12</xdr:col>
      <xdr:colOff>590550</xdr:colOff>
      <xdr:row>12</xdr:row>
      <xdr:rowOff>171450</xdr:rowOff>
    </xdr:to>
    <xdr:pic>
      <xdr:nvPicPr>
        <xdr:cNvPr id="2305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0774" t="19524" r="41667" b="24857"/>
        <a:stretch>
          <a:fillRect/>
        </a:stretch>
      </xdr:blipFill>
      <xdr:spPr bwMode="auto">
        <a:xfrm>
          <a:off x="5448300" y="447675"/>
          <a:ext cx="1971675" cy="2486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16</xdr:row>
      <xdr:rowOff>66675</xdr:rowOff>
    </xdr:from>
    <xdr:to>
      <xdr:col>7</xdr:col>
      <xdr:colOff>295275</xdr:colOff>
      <xdr:row>23</xdr:row>
      <xdr:rowOff>19050</xdr:rowOff>
    </xdr:to>
    <xdr:pic>
      <xdr:nvPicPr>
        <xdr:cNvPr id="1133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2440" t="23714" r="31548" b="18668"/>
        <a:stretch>
          <a:fillRect/>
        </a:stretch>
      </xdr:blipFill>
      <xdr:spPr bwMode="auto">
        <a:xfrm>
          <a:off x="3448050" y="7477125"/>
          <a:ext cx="1666875" cy="16668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7" Type="http://schemas.openxmlformats.org/officeDocument/2006/relationships/oleObject" Target="../embeddings/oleObject7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oleObject" Target="../embeddings/oleObject5.bin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6"/>
  <sheetViews>
    <sheetView tabSelected="1" topLeftCell="A13" zoomScaleNormal="100" workbookViewId="0">
      <selection activeCell="P21" sqref="P21"/>
    </sheetView>
  </sheetViews>
  <sheetFormatPr defaultRowHeight="15"/>
  <cols>
    <col min="1" max="1" width="10" customWidth="1"/>
    <col min="2" max="2" width="11.42578125" customWidth="1"/>
    <col min="3" max="3" width="8.5703125" customWidth="1"/>
    <col min="4" max="4" width="5.7109375" customWidth="1"/>
    <col min="6" max="6" width="8.28515625" customWidth="1"/>
    <col min="7" max="7" width="7.140625" customWidth="1"/>
    <col min="8" max="8" width="7.85546875" customWidth="1"/>
    <col min="9" max="9" width="11.28515625" customWidth="1"/>
    <col min="10" max="10" width="4.7109375" bestFit="1" customWidth="1"/>
  </cols>
  <sheetData>
    <row r="1" spans="1:26" ht="29.25">
      <c r="A1" s="224" t="s">
        <v>176</v>
      </c>
    </row>
    <row r="2" spans="1:26" ht="14.25" customHeight="1" thickBot="1"/>
    <row r="3" spans="1:26" ht="18.75" customHeight="1">
      <c r="A3" s="22" t="s">
        <v>7</v>
      </c>
      <c r="B3" s="13"/>
      <c r="C3" s="13"/>
      <c r="D3" s="4"/>
      <c r="E3" s="41"/>
      <c r="F3" s="41"/>
      <c r="G3" s="95" t="s">
        <v>12</v>
      </c>
      <c r="H3" s="96"/>
      <c r="I3" s="13"/>
      <c r="J3" s="4"/>
      <c r="K3" s="41"/>
      <c r="L3" s="41"/>
      <c r="M3" s="52"/>
      <c r="N3" s="296" t="s">
        <v>22</v>
      </c>
    </row>
    <row r="4" spans="1:26" ht="18.75" customHeight="1">
      <c r="A4" s="223" t="s">
        <v>4</v>
      </c>
      <c r="B4" s="12">
        <v>100</v>
      </c>
      <c r="C4" s="6" t="s">
        <v>3</v>
      </c>
      <c r="D4" s="6"/>
      <c r="E4" s="214"/>
      <c r="F4" s="214"/>
      <c r="G4" s="225" t="s">
        <v>13</v>
      </c>
      <c r="H4" s="211">
        <v>210000</v>
      </c>
      <c r="I4" s="6" t="s">
        <v>15</v>
      </c>
      <c r="J4" s="94"/>
      <c r="K4" s="178"/>
      <c r="L4" s="214"/>
      <c r="M4" s="17"/>
      <c r="N4" s="297"/>
      <c r="O4" s="6"/>
    </row>
    <row r="5" spans="1:26" ht="18.75" customHeight="1">
      <c r="A5" s="223" t="s">
        <v>5</v>
      </c>
      <c r="B5" s="12">
        <v>50</v>
      </c>
      <c r="C5" s="6" t="s">
        <v>3</v>
      </c>
      <c r="D5" s="6"/>
      <c r="E5" s="214"/>
      <c r="F5" s="214"/>
      <c r="G5" s="226" t="s">
        <v>79</v>
      </c>
      <c r="H5" s="211">
        <v>0.3</v>
      </c>
      <c r="I5" s="6"/>
      <c r="J5" s="94"/>
      <c r="K5" s="179"/>
      <c r="L5" s="214"/>
      <c r="M5" s="17"/>
      <c r="N5" s="297"/>
      <c r="O5" s="6"/>
    </row>
    <row r="6" spans="1:26" ht="18.75" customHeight="1">
      <c r="A6" s="223" t="s">
        <v>6</v>
      </c>
      <c r="B6" s="12">
        <v>20</v>
      </c>
      <c r="C6" s="6" t="s">
        <v>3</v>
      </c>
      <c r="D6" s="6"/>
      <c r="E6" s="214"/>
      <c r="F6" s="214"/>
      <c r="G6" s="227" t="s">
        <v>169</v>
      </c>
      <c r="H6" s="12">
        <v>350</v>
      </c>
      <c r="I6" s="6" t="s">
        <v>15</v>
      </c>
      <c r="J6" s="94"/>
      <c r="K6" s="179"/>
      <c r="L6" s="214"/>
      <c r="M6" s="17"/>
      <c r="N6" s="297"/>
      <c r="O6" s="6"/>
    </row>
    <row r="7" spans="1:26" ht="18.75" customHeight="1">
      <c r="A7" s="223" t="s">
        <v>2</v>
      </c>
      <c r="B7" s="12">
        <v>1</v>
      </c>
      <c r="C7" s="6" t="s">
        <v>3</v>
      </c>
      <c r="D7" s="6"/>
      <c r="E7" s="214"/>
      <c r="F7" s="214"/>
      <c r="G7" s="225" t="s">
        <v>177</v>
      </c>
      <c r="H7" s="211">
        <v>1</v>
      </c>
      <c r="I7" s="6"/>
      <c r="J7" s="94"/>
      <c r="K7" s="179"/>
      <c r="L7" s="214"/>
      <c r="M7" s="17"/>
      <c r="N7" s="297"/>
      <c r="O7" s="6"/>
    </row>
    <row r="8" spans="1:26" ht="18.75" customHeight="1">
      <c r="A8" s="223" t="s">
        <v>1</v>
      </c>
      <c r="B8" s="12">
        <v>-0.5</v>
      </c>
      <c r="C8" s="6" t="s">
        <v>3</v>
      </c>
      <c r="D8" s="6"/>
      <c r="E8" s="214"/>
      <c r="F8" s="214"/>
      <c r="G8" s="225" t="s">
        <v>178</v>
      </c>
      <c r="H8" s="211">
        <v>1</v>
      </c>
      <c r="I8" s="6"/>
      <c r="J8" s="214"/>
      <c r="K8" s="214"/>
      <c r="L8" s="214"/>
      <c r="M8" s="17"/>
      <c r="N8" s="297"/>
      <c r="O8" s="6"/>
    </row>
    <row r="9" spans="1:26" ht="18.75" customHeight="1">
      <c r="A9" s="166" t="str">
        <f>IF(Profieleigenschappen!C13&lt;=Profieleigenschappen!E13,IF(Profieleigenschappen!C14&lt;=Profieleigenschappen!E14,"Invl. afrondingsstralen mag worden genegeerd","Invl. afrondingsstralen mag niet worden genegeerd"),"Invl. afrondingsstralen mag niet worden genegeerd")</f>
        <v>Invl. afrondingsstralen mag worden genegeerd</v>
      </c>
      <c r="B9" s="214"/>
      <c r="C9" s="214"/>
      <c r="D9" s="6"/>
      <c r="E9" s="214"/>
      <c r="F9" s="214"/>
      <c r="G9" s="225"/>
      <c r="H9" s="211"/>
      <c r="I9" s="6"/>
      <c r="J9" s="214"/>
      <c r="K9" s="214"/>
      <c r="L9" s="214"/>
      <c r="M9" s="54"/>
      <c r="N9" s="297"/>
      <c r="O9" s="6"/>
    </row>
    <row r="10" spans="1:26" ht="18.75" customHeight="1">
      <c r="A10" s="166" t="str">
        <f>IF(Profieleigenschappen!C13&lt;=Profieleigenschappen!E13,IF(Profieleigenschappen!C14&lt;=Profieleigenschappen!E14,"Dit kan door handmatig r = - 0,5 * t  in te voeren"," ")," ")</f>
        <v>Dit kan door handmatig r = - 0,5 * t  in te voeren</v>
      </c>
      <c r="B10" s="12"/>
      <c r="C10" s="6"/>
      <c r="D10" s="6"/>
      <c r="E10" s="6"/>
      <c r="F10" s="12"/>
      <c r="G10" s="6"/>
      <c r="H10" s="118"/>
      <c r="I10" s="214"/>
      <c r="J10" s="214"/>
      <c r="K10" s="124"/>
      <c r="L10" s="214"/>
      <c r="M10" s="54"/>
      <c r="N10" s="297"/>
      <c r="O10" s="6"/>
    </row>
    <row r="11" spans="1:26" ht="14.25" customHeight="1">
      <c r="A11" s="1"/>
      <c r="B11" s="214"/>
      <c r="C11" s="214"/>
      <c r="D11" s="6"/>
      <c r="E11" s="6"/>
      <c r="F11" s="12"/>
      <c r="G11" s="6"/>
      <c r="H11" s="118"/>
      <c r="I11" s="214"/>
      <c r="J11" s="214"/>
      <c r="K11" s="124"/>
      <c r="L11" s="214"/>
      <c r="M11" s="54"/>
      <c r="N11" s="297"/>
      <c r="O11" s="6"/>
    </row>
    <row r="12" spans="1:26" ht="18.75" customHeight="1">
      <c r="A12" s="300" t="str">
        <f>IF(SUM(Profieleigenschappen!I4:I7)=4,"Profiel fysisch mogelijk","Profiel fysisch niet mogelijk")</f>
        <v>Profiel fysisch mogelijk</v>
      </c>
      <c r="B12" s="301"/>
      <c r="C12" s="301"/>
      <c r="D12" s="6"/>
      <c r="E12" s="214"/>
      <c r="F12" s="104"/>
      <c r="G12" s="104"/>
      <c r="H12" s="104"/>
      <c r="I12" s="6"/>
      <c r="J12" s="6"/>
      <c r="K12" s="53"/>
      <c r="L12" s="6"/>
      <c r="M12" s="17"/>
      <c r="N12" s="297"/>
      <c r="O12" s="6"/>
    </row>
    <row r="13" spans="1:26" ht="14.25" customHeight="1">
      <c r="A13" s="98"/>
      <c r="B13" s="99"/>
      <c r="C13" s="99"/>
      <c r="D13" s="100"/>
      <c r="E13" s="100"/>
      <c r="F13" s="100"/>
      <c r="G13" s="100"/>
      <c r="H13" s="100"/>
      <c r="I13" s="100"/>
      <c r="J13" s="100"/>
      <c r="K13" s="101"/>
      <c r="L13" s="100"/>
      <c r="M13" s="102"/>
      <c r="N13" s="298"/>
      <c r="O13" s="6"/>
      <c r="W13" s="2"/>
      <c r="X13" s="2"/>
      <c r="Y13" s="2"/>
      <c r="Z13" s="2"/>
    </row>
    <row r="14" spans="1:26" ht="18.75" customHeight="1">
      <c r="A14" s="19" t="s">
        <v>32</v>
      </c>
      <c r="B14" s="6"/>
      <c r="C14" s="6"/>
      <c r="D14" s="6"/>
      <c r="E14" s="6"/>
      <c r="F14" s="6"/>
      <c r="G14" s="6"/>
      <c r="H14" s="6"/>
      <c r="I14" s="6"/>
      <c r="J14" s="6"/>
      <c r="K14" s="214"/>
      <c r="L14" s="94"/>
      <c r="M14" s="17"/>
      <c r="N14" s="93"/>
      <c r="O14" s="6"/>
      <c r="P14" s="39"/>
      <c r="Q14" s="39"/>
      <c r="R14" s="39"/>
      <c r="S14" s="39"/>
      <c r="T14" s="39"/>
      <c r="U14" s="39"/>
      <c r="W14" s="2"/>
      <c r="X14" s="2"/>
      <c r="Y14" s="2"/>
      <c r="Z14" s="2"/>
    </row>
    <row r="15" spans="1:26" ht="18.75" customHeight="1">
      <c r="A15" s="212" t="s">
        <v>33</v>
      </c>
      <c r="B15" s="220"/>
      <c r="C15" s="8"/>
      <c r="D15" s="214"/>
      <c r="E15" s="215" t="s">
        <v>144</v>
      </c>
      <c r="F15" s="50">
        <f>B7</f>
        <v>1</v>
      </c>
      <c r="G15" s="220" t="s">
        <v>145</v>
      </c>
      <c r="H15" s="299" t="str">
        <f>IF(F15&gt;=1,IF(F15&lt;=8,"Voldoet","Voldoet niet"),"Voldoet niet")</f>
        <v>Voldoet</v>
      </c>
      <c r="I15" s="299"/>
      <c r="J15" s="213"/>
      <c r="K15" s="214"/>
      <c r="L15" s="94"/>
      <c r="M15" s="55"/>
      <c r="N15" s="93"/>
      <c r="O15" s="6"/>
      <c r="P15" s="39"/>
      <c r="Q15" s="39"/>
      <c r="R15" s="39"/>
      <c r="S15" s="39"/>
      <c r="T15" s="39"/>
      <c r="U15" s="39"/>
      <c r="W15" s="2"/>
      <c r="X15" s="2"/>
      <c r="Y15" s="2"/>
      <c r="Z15" s="2"/>
    </row>
    <row r="16" spans="1:26" ht="18.75" customHeight="1">
      <c r="A16" s="311" t="s">
        <v>34</v>
      </c>
      <c r="B16" s="312"/>
      <c r="C16" s="8" t="s">
        <v>37</v>
      </c>
      <c r="D16" s="214"/>
      <c r="E16" s="229" t="s">
        <v>36</v>
      </c>
      <c r="F16" s="50">
        <f>B4/B7</f>
        <v>100</v>
      </c>
      <c r="G16" s="220" t="s">
        <v>147</v>
      </c>
      <c r="H16" s="313" t="str">
        <f>IF(F16&lt;=500,"Voldoet","Voldoet niet")</f>
        <v>Voldoet</v>
      </c>
      <c r="I16" s="313"/>
      <c r="J16" s="220"/>
      <c r="K16" s="220"/>
      <c r="L16" s="220"/>
      <c r="M16" s="55"/>
      <c r="N16" s="93"/>
      <c r="O16" s="6"/>
      <c r="W16" s="2"/>
      <c r="X16" s="2"/>
      <c r="Y16" s="2"/>
      <c r="Z16" s="2"/>
    </row>
    <row r="17" spans="1:26" ht="18.75" customHeight="1">
      <c r="A17" s="222"/>
      <c r="B17" s="220"/>
      <c r="C17" s="8" t="s">
        <v>38</v>
      </c>
      <c r="D17" s="214"/>
      <c r="E17" s="229" t="s">
        <v>39</v>
      </c>
      <c r="F17" s="50">
        <f>B5/B7</f>
        <v>50</v>
      </c>
      <c r="G17" s="220" t="s">
        <v>148</v>
      </c>
      <c r="H17" s="313" t="str">
        <f>IF(F17&lt;=60,"Voldoet","Voldoet niet")</f>
        <v>Voldoet</v>
      </c>
      <c r="I17" s="313"/>
      <c r="J17" s="220"/>
      <c r="K17" s="220"/>
      <c r="L17" s="220"/>
      <c r="M17" s="55"/>
      <c r="N17" s="93"/>
      <c r="O17" s="6"/>
      <c r="P17" s="187"/>
      <c r="Q17" s="2"/>
      <c r="R17" s="188"/>
      <c r="S17" s="189"/>
      <c r="T17" s="187"/>
      <c r="U17" s="192"/>
      <c r="V17" s="192"/>
      <c r="W17" s="187"/>
      <c r="X17" s="187"/>
      <c r="Y17" s="187"/>
      <c r="Z17" s="185"/>
    </row>
    <row r="18" spans="1:26" ht="18.75" customHeight="1">
      <c r="A18" s="222"/>
      <c r="B18" s="220"/>
      <c r="C18" s="220" t="s">
        <v>149</v>
      </c>
      <c r="D18" s="214"/>
      <c r="E18" s="229" t="s">
        <v>35</v>
      </c>
      <c r="F18" s="50">
        <f>B6/B7</f>
        <v>20</v>
      </c>
      <c r="G18" s="220" t="s">
        <v>146</v>
      </c>
      <c r="H18" s="313" t="str">
        <f>IF(F18&lt;=50,"Voldoet","Voldoet niet")</f>
        <v>Voldoet</v>
      </c>
      <c r="I18" s="313"/>
      <c r="J18" s="220"/>
      <c r="K18" s="220"/>
      <c r="L18" s="220"/>
      <c r="M18" s="55"/>
      <c r="N18" s="93"/>
      <c r="O18" s="6"/>
      <c r="P18" s="2"/>
      <c r="Q18" s="2"/>
      <c r="R18" s="188"/>
      <c r="S18" s="189"/>
      <c r="T18" s="187"/>
      <c r="U18" s="193"/>
      <c r="V18" s="193"/>
      <c r="W18" s="193"/>
      <c r="X18" s="193"/>
      <c r="Y18" s="193"/>
      <c r="Z18" s="193"/>
    </row>
    <row r="19" spans="1:26" ht="18.75" customHeight="1">
      <c r="A19" s="222"/>
      <c r="B19" s="220"/>
      <c r="C19" s="214"/>
      <c r="D19" s="214"/>
      <c r="E19" s="229" t="s">
        <v>150</v>
      </c>
      <c r="F19" s="189">
        <f>B6/B5</f>
        <v>0.4</v>
      </c>
      <c r="G19" s="187" t="s">
        <v>151</v>
      </c>
      <c r="H19" s="374" t="str">
        <f>IF(F20&lt;=0.6,IF(F19&gt;=0.2,"De lip mag worden meegenomen in de berekening","Lipafmetingen te klein. Bereken C-profiel als U-profiel met dezelfde b als C-profiel"),"Lipafmetingen te groot. Geen verdere berekening ")</f>
        <v>De lip mag worden meegenomen in de berekening</v>
      </c>
      <c r="I19" s="374"/>
      <c r="J19" s="374"/>
      <c r="K19" s="374"/>
      <c r="L19" s="374"/>
      <c r="M19" s="375"/>
      <c r="N19" s="93"/>
      <c r="P19" s="190"/>
      <c r="Q19" s="2"/>
      <c r="R19" s="188"/>
      <c r="S19" s="189"/>
      <c r="T19" s="187"/>
      <c r="U19" s="193"/>
      <c r="V19" s="193"/>
      <c r="W19" s="193"/>
      <c r="X19" s="193"/>
      <c r="Y19" s="193"/>
      <c r="Z19" s="193"/>
    </row>
    <row r="20" spans="1:26" ht="18.75" customHeight="1">
      <c r="A20" s="311"/>
      <c r="B20" s="312"/>
      <c r="C20" s="8"/>
      <c r="D20" s="214"/>
      <c r="E20" s="229" t="s">
        <v>150</v>
      </c>
      <c r="F20" s="189">
        <f>B6/B5</f>
        <v>0.4</v>
      </c>
      <c r="G20" s="187" t="s">
        <v>152</v>
      </c>
      <c r="H20" s="374"/>
      <c r="I20" s="374"/>
      <c r="J20" s="374"/>
      <c r="K20" s="374"/>
      <c r="L20" s="374"/>
      <c r="M20" s="375"/>
      <c r="N20" s="93"/>
      <c r="O20" s="6"/>
      <c r="T20" s="2"/>
      <c r="U20" s="2"/>
      <c r="V20" s="2"/>
      <c r="W20" s="2"/>
      <c r="X20" s="2"/>
      <c r="Y20" s="2"/>
      <c r="Z20" s="2"/>
    </row>
    <row r="21" spans="1:26" ht="18.75" customHeight="1">
      <c r="A21" s="16"/>
      <c r="B21" s="302" t="s">
        <v>143</v>
      </c>
      <c r="C21" s="302"/>
      <c r="D21" s="302"/>
      <c r="E21" s="230" t="s">
        <v>1</v>
      </c>
      <c r="F21" s="221" t="s">
        <v>42</v>
      </c>
      <c r="G21" s="190" t="s">
        <v>179</v>
      </c>
      <c r="H21" s="94"/>
      <c r="I21" s="38"/>
      <c r="J21" s="38"/>
      <c r="K21" s="38"/>
      <c r="L21" s="38"/>
      <c r="M21" s="153"/>
      <c r="N21" s="93"/>
      <c r="O21" s="5"/>
      <c r="T21" s="2"/>
      <c r="U21" s="2"/>
      <c r="V21" s="2"/>
      <c r="W21" s="2"/>
      <c r="X21" s="2"/>
      <c r="Y21" s="2"/>
      <c r="Z21" s="2"/>
    </row>
    <row r="22" spans="1:26" ht="18.75" customHeight="1">
      <c r="A22" s="16"/>
      <c r="B22" s="214"/>
      <c r="C22" s="214"/>
      <c r="D22" s="6"/>
      <c r="E22" s="6">
        <f>B8</f>
        <v>-0.5</v>
      </c>
      <c r="F22" s="221" t="s">
        <v>42</v>
      </c>
      <c r="G22" s="130">
        <f>0.04*B7*H4/H6</f>
        <v>24</v>
      </c>
      <c r="H22" s="314" t="str">
        <f>IF(E22&gt;G22,"Voldoet niet","Voldoet")</f>
        <v>Voldoet</v>
      </c>
      <c r="I22" s="314"/>
      <c r="J22" s="303"/>
      <c r="K22" s="303"/>
      <c r="L22" s="303"/>
      <c r="M22" s="304"/>
      <c r="N22" s="93"/>
      <c r="O22" s="5"/>
      <c r="T22" s="2"/>
      <c r="U22" s="2"/>
      <c r="V22" s="2"/>
      <c r="W22" s="2"/>
      <c r="X22" s="2"/>
      <c r="Y22" s="2"/>
      <c r="Z22" s="2"/>
    </row>
    <row r="23" spans="1:26" ht="14.25" customHeight="1">
      <c r="A23" s="1"/>
      <c r="B23" s="214"/>
      <c r="C23" s="214"/>
      <c r="D23" s="214"/>
      <c r="E23" s="214"/>
      <c r="F23" s="214"/>
      <c r="G23" s="214"/>
      <c r="H23" s="214"/>
      <c r="I23" s="303"/>
      <c r="J23" s="303"/>
      <c r="K23" s="303"/>
      <c r="L23" s="303"/>
      <c r="M23" s="304"/>
      <c r="N23" s="93"/>
      <c r="O23" s="5"/>
      <c r="T23" s="2"/>
      <c r="U23" s="2"/>
      <c r="V23" s="2"/>
      <c r="W23" s="2"/>
      <c r="X23" s="2"/>
      <c r="Y23" s="2"/>
      <c r="Z23" s="2"/>
    </row>
    <row r="24" spans="1:26">
      <c r="A24" s="1"/>
      <c r="B24" s="214"/>
      <c r="C24" s="214"/>
      <c r="D24" s="214"/>
      <c r="E24" s="214"/>
      <c r="F24" s="214"/>
      <c r="G24" s="214"/>
      <c r="H24" s="214"/>
      <c r="I24" s="303"/>
      <c r="J24" s="303"/>
      <c r="K24" s="303"/>
      <c r="L24" s="303"/>
      <c r="M24" s="304"/>
      <c r="N24" s="93"/>
      <c r="O24" s="5"/>
      <c r="W24" s="2"/>
      <c r="X24" s="2"/>
      <c r="Y24" s="2"/>
      <c r="Z24" s="2"/>
    </row>
    <row r="25" spans="1:26">
      <c r="A25" s="1"/>
      <c r="B25" s="214"/>
      <c r="C25" s="214"/>
      <c r="D25" s="214"/>
      <c r="E25" s="214"/>
      <c r="F25" s="214"/>
      <c r="G25" s="214"/>
      <c r="H25" s="214"/>
      <c r="I25" s="303"/>
      <c r="J25" s="303"/>
      <c r="K25" s="303"/>
      <c r="L25" s="303"/>
      <c r="M25" s="304"/>
      <c r="N25" s="93"/>
      <c r="O25" s="5"/>
      <c r="W25" s="2"/>
      <c r="X25" s="2"/>
      <c r="Y25" s="2"/>
      <c r="Z25" s="2"/>
    </row>
    <row r="26" spans="1:26">
      <c r="A26" s="1"/>
      <c r="B26" s="214"/>
      <c r="C26" s="214"/>
      <c r="D26" s="214"/>
      <c r="E26" s="6"/>
      <c r="F26" s="27"/>
      <c r="G26" s="6"/>
      <c r="H26" s="137"/>
      <c r="I26" s="303"/>
      <c r="J26" s="303"/>
      <c r="K26" s="303"/>
      <c r="L26" s="303"/>
      <c r="M26" s="304"/>
      <c r="N26" s="93"/>
      <c r="O26" s="5"/>
      <c r="W26" s="2"/>
      <c r="X26" s="2"/>
      <c r="Y26" s="2"/>
      <c r="Z26" s="2"/>
    </row>
    <row r="27" spans="1:26">
      <c r="A27" s="16"/>
      <c r="B27" s="27"/>
      <c r="C27" s="6"/>
      <c r="D27" s="6"/>
      <c r="E27" s="6"/>
      <c r="F27" s="27"/>
      <c r="G27" s="6"/>
      <c r="H27" s="137"/>
      <c r="I27" s="303"/>
      <c r="J27" s="303"/>
      <c r="K27" s="303"/>
      <c r="L27" s="303"/>
      <c r="M27" s="304"/>
      <c r="N27" s="93"/>
      <c r="O27" s="35"/>
      <c r="W27" s="2"/>
      <c r="X27" s="2"/>
      <c r="Y27" s="2"/>
      <c r="Z27" s="2"/>
    </row>
    <row r="28" spans="1:26">
      <c r="A28" s="1"/>
      <c r="B28" s="214"/>
      <c r="C28" s="214"/>
      <c r="D28" s="6"/>
      <c r="E28" s="214"/>
      <c r="F28" s="11"/>
      <c r="G28" s="6"/>
      <c r="H28" s="137"/>
      <c r="I28" s="303"/>
      <c r="J28" s="303"/>
      <c r="K28" s="303"/>
      <c r="L28" s="303"/>
      <c r="M28" s="304"/>
      <c r="N28" s="93"/>
      <c r="O28" s="5"/>
      <c r="W28" s="2"/>
      <c r="X28" s="2"/>
      <c r="Y28" s="2"/>
      <c r="Z28" s="2"/>
    </row>
    <row r="29" spans="1:26">
      <c r="A29" s="1"/>
      <c r="B29" s="214"/>
      <c r="C29" s="214"/>
      <c r="D29" s="6"/>
      <c r="E29" s="6"/>
      <c r="F29" s="11"/>
      <c r="G29" s="6"/>
      <c r="H29" s="137"/>
      <c r="I29" s="303"/>
      <c r="J29" s="303"/>
      <c r="K29" s="303"/>
      <c r="L29" s="303"/>
      <c r="M29" s="304"/>
      <c r="N29" s="93"/>
      <c r="O29" s="5"/>
      <c r="W29" s="2"/>
      <c r="X29" s="2"/>
      <c r="Y29" s="2"/>
      <c r="Z29" s="2"/>
    </row>
    <row r="30" spans="1:26">
      <c r="A30" s="1"/>
      <c r="B30" s="214"/>
      <c r="C30" s="214"/>
      <c r="D30" s="6"/>
      <c r="E30" s="6"/>
      <c r="F30" s="11"/>
      <c r="G30" s="6"/>
      <c r="H30" s="137"/>
      <c r="I30" s="303"/>
      <c r="J30" s="303"/>
      <c r="K30" s="303"/>
      <c r="L30" s="303"/>
      <c r="M30" s="304"/>
      <c r="N30" s="93"/>
      <c r="O30" s="5"/>
      <c r="W30" s="2"/>
      <c r="X30" s="2"/>
      <c r="Y30" s="2"/>
      <c r="Z30" s="2"/>
    </row>
    <row r="31" spans="1:26">
      <c r="A31" s="1"/>
      <c r="B31" s="214"/>
      <c r="C31" s="214"/>
      <c r="D31" s="6"/>
      <c r="E31" s="6"/>
      <c r="F31" s="11"/>
      <c r="G31" s="6"/>
      <c r="H31" s="137"/>
      <c r="I31" s="303"/>
      <c r="J31" s="303"/>
      <c r="K31" s="303"/>
      <c r="L31" s="303"/>
      <c r="M31" s="304"/>
      <c r="N31" s="93"/>
      <c r="O31" s="5"/>
      <c r="W31" s="2"/>
      <c r="X31" s="2"/>
      <c r="Y31" s="2"/>
      <c r="Z31" s="2"/>
    </row>
    <row r="32" spans="1:26" ht="14.25" customHeight="1">
      <c r="A32" s="1"/>
      <c r="B32" s="214"/>
      <c r="C32" s="214"/>
      <c r="D32" s="6"/>
      <c r="E32" s="6"/>
      <c r="F32" s="11"/>
      <c r="G32" s="6"/>
      <c r="H32" s="137"/>
      <c r="I32" s="216"/>
      <c r="J32" s="216"/>
      <c r="K32" s="216"/>
      <c r="L32" s="216"/>
      <c r="M32" s="217"/>
      <c r="N32" s="93"/>
      <c r="O32" s="5"/>
      <c r="W32" s="214"/>
      <c r="X32" s="214"/>
      <c r="Y32" s="2"/>
      <c r="Z32" s="2"/>
    </row>
    <row r="33" spans="1:26" ht="18.75" customHeight="1">
      <c r="A33" s="1"/>
      <c r="B33" s="214"/>
      <c r="C33" s="214"/>
      <c r="D33" s="6"/>
      <c r="E33" s="6"/>
      <c r="F33" s="11"/>
      <c r="G33" s="6"/>
      <c r="H33" s="137"/>
      <c r="I33" s="216"/>
      <c r="J33" s="216"/>
      <c r="K33" s="216"/>
      <c r="L33" s="216"/>
      <c r="M33" s="217"/>
      <c r="N33" s="93"/>
      <c r="O33" s="5"/>
      <c r="W33" s="2"/>
      <c r="X33" s="2"/>
      <c r="Y33" s="2"/>
      <c r="Z33" s="2"/>
    </row>
    <row r="34" spans="1:26" ht="18.75" customHeight="1">
      <c r="A34" s="1"/>
      <c r="B34" s="214"/>
      <c r="C34" s="214"/>
      <c r="D34" s="6"/>
      <c r="E34" s="6"/>
      <c r="F34" s="11"/>
      <c r="G34" s="6"/>
      <c r="H34" s="137"/>
      <c r="I34" s="216"/>
      <c r="J34" s="216"/>
      <c r="K34" s="216"/>
      <c r="L34" s="216"/>
      <c r="M34" s="217"/>
      <c r="N34" s="93"/>
      <c r="O34" s="5"/>
      <c r="W34" s="2"/>
      <c r="X34" s="2"/>
    </row>
    <row r="35" spans="1:26" ht="18.75" customHeight="1">
      <c r="A35" s="1"/>
      <c r="B35" s="214"/>
      <c r="C35" s="214"/>
      <c r="D35" s="6"/>
      <c r="E35" s="6"/>
      <c r="F35" s="11"/>
      <c r="G35" s="6"/>
      <c r="H35" s="137"/>
      <c r="I35" s="216"/>
      <c r="J35" s="216"/>
      <c r="K35" s="216"/>
      <c r="L35" s="216"/>
      <c r="M35" s="217"/>
      <c r="N35" s="93"/>
      <c r="O35" s="5"/>
    </row>
    <row r="36" spans="1:26" ht="18.75" customHeight="1" thickBot="1">
      <c r="A36" s="97"/>
      <c r="B36" s="3"/>
      <c r="C36" s="3"/>
      <c r="D36" s="20"/>
      <c r="E36" s="20"/>
      <c r="F36" s="21"/>
      <c r="G36" s="20"/>
      <c r="H36" s="191"/>
      <c r="I36" s="218"/>
      <c r="J36" s="218"/>
      <c r="K36" s="218"/>
      <c r="L36" s="218"/>
      <c r="M36" s="219"/>
      <c r="N36" s="93"/>
      <c r="O36" s="5"/>
    </row>
    <row r="37" spans="1:26" ht="18.75" customHeight="1" thickBot="1">
      <c r="D37" s="6"/>
      <c r="E37" s="6"/>
      <c r="F37" s="11"/>
      <c r="G37" s="6"/>
      <c r="H37" s="6"/>
      <c r="I37" s="6"/>
      <c r="J37" s="6"/>
      <c r="K37" s="8"/>
      <c r="L37" s="8"/>
      <c r="M37" s="5"/>
      <c r="N37" s="93"/>
      <c r="O37" s="5"/>
    </row>
    <row r="38" spans="1:26" ht="18.75" customHeight="1">
      <c r="A38" s="22" t="s">
        <v>16</v>
      </c>
      <c r="B38" s="13"/>
      <c r="C38" s="13"/>
      <c r="D38" s="13"/>
      <c r="E38" s="13"/>
      <c r="F38" s="14"/>
      <c r="G38" s="13"/>
      <c r="H38" s="13"/>
      <c r="I38" s="13"/>
      <c r="J38" s="13"/>
      <c r="K38" s="42"/>
      <c r="L38" s="42"/>
      <c r="M38" s="80"/>
      <c r="N38" s="296" t="s">
        <v>21</v>
      </c>
      <c r="O38" s="5"/>
    </row>
    <row r="39" spans="1:26" ht="18.75" customHeight="1">
      <c r="A39" s="231" t="s">
        <v>155</v>
      </c>
      <c r="B39" s="194">
        <f>Berekening!H79</f>
        <v>24.125966867096434</v>
      </c>
      <c r="C39" s="173" t="s">
        <v>3</v>
      </c>
      <c r="D39" s="173"/>
      <c r="E39" s="236" t="s">
        <v>181</v>
      </c>
      <c r="F39" s="194">
        <f>Berekening!H74</f>
        <v>20.864294159767088</v>
      </c>
      <c r="G39" s="173" t="s">
        <v>3</v>
      </c>
      <c r="H39" s="2"/>
      <c r="I39" s="2"/>
      <c r="J39" s="2"/>
      <c r="K39" s="8"/>
      <c r="L39" s="8"/>
      <c r="M39" s="15"/>
      <c r="N39" s="297"/>
      <c r="O39" s="5"/>
    </row>
    <row r="40" spans="1:26" ht="18.75" customHeight="1">
      <c r="A40" s="231"/>
      <c r="B40" s="194"/>
      <c r="C40" s="203"/>
      <c r="D40" s="173"/>
      <c r="E40" s="236" t="s">
        <v>182</v>
      </c>
      <c r="F40" s="194">
        <f>Berekening!H75</f>
        <v>20.864294159767088</v>
      </c>
      <c r="G40" s="173" t="s">
        <v>3</v>
      </c>
      <c r="H40" s="303"/>
      <c r="I40" s="303"/>
      <c r="J40" s="303"/>
      <c r="K40" s="303"/>
      <c r="L40" s="303"/>
      <c r="M40" s="304"/>
      <c r="N40" s="297"/>
      <c r="O40" s="5"/>
    </row>
    <row r="41" spans="1:26" ht="18.75" customHeight="1">
      <c r="A41" s="232" t="s">
        <v>167</v>
      </c>
      <c r="B41" s="194">
        <f>Berekening!H92</f>
        <v>24.874033132903566</v>
      </c>
      <c r="C41" s="173" t="s">
        <v>3</v>
      </c>
      <c r="D41" s="173"/>
      <c r="E41" s="203"/>
      <c r="F41" s="203"/>
      <c r="G41" s="203"/>
      <c r="H41" s="303"/>
      <c r="I41" s="303"/>
      <c r="J41" s="303"/>
      <c r="K41" s="303"/>
      <c r="L41" s="303"/>
      <c r="M41" s="304"/>
      <c r="N41" s="297"/>
      <c r="O41" s="5"/>
    </row>
    <row r="42" spans="1:26" ht="18.75" customHeight="1">
      <c r="A42" s="232" t="s">
        <v>168</v>
      </c>
      <c r="B42" s="194">
        <f>Berekening!H94</f>
        <v>24.125966867096434</v>
      </c>
      <c r="C42" s="173" t="s">
        <v>3</v>
      </c>
      <c r="D42" s="173"/>
      <c r="E42" s="236" t="s">
        <v>183</v>
      </c>
      <c r="F42" s="194">
        <f>Berekening!H101</f>
        <v>9.6503867468385742</v>
      </c>
      <c r="G42" s="173" t="s">
        <v>3</v>
      </c>
      <c r="H42" s="303"/>
      <c r="I42" s="303"/>
      <c r="J42" s="303"/>
      <c r="K42" s="303"/>
      <c r="L42" s="303"/>
      <c r="M42" s="304"/>
      <c r="N42" s="297"/>
      <c r="O42" s="5"/>
    </row>
    <row r="43" spans="1:26" ht="18.75" customHeight="1">
      <c r="A43" s="233" t="s">
        <v>153</v>
      </c>
      <c r="B43" s="204">
        <f>Berekening!H83</f>
        <v>-1.0310066854492519</v>
      </c>
      <c r="C43" s="203"/>
      <c r="D43" s="173"/>
      <c r="E43" s="236" t="s">
        <v>184</v>
      </c>
      <c r="F43" s="194">
        <f>Berekening!H102</f>
        <v>14.47558012025786</v>
      </c>
      <c r="G43" s="173" t="s">
        <v>3</v>
      </c>
      <c r="H43" s="303"/>
      <c r="I43" s="303"/>
      <c r="J43" s="303"/>
      <c r="K43" s="303"/>
      <c r="L43" s="303"/>
      <c r="M43" s="304"/>
      <c r="N43" s="297"/>
      <c r="O43" s="5"/>
    </row>
    <row r="44" spans="1:26" ht="18.75" customHeight="1">
      <c r="A44" s="232"/>
      <c r="B44" s="203"/>
      <c r="C44" s="203"/>
      <c r="D44" s="173"/>
      <c r="E44" s="173" t="s">
        <v>174</v>
      </c>
      <c r="F44" s="194">
        <f>Berekening!H93</f>
        <v>24.874033132903566</v>
      </c>
      <c r="G44" s="173" t="s">
        <v>3</v>
      </c>
      <c r="H44" s="303"/>
      <c r="I44" s="303"/>
      <c r="J44" s="303"/>
      <c r="K44" s="303"/>
      <c r="L44" s="303"/>
      <c r="M44" s="304"/>
      <c r="N44" s="297"/>
      <c r="O44" s="5"/>
    </row>
    <row r="45" spans="1:26" ht="18.75" customHeight="1">
      <c r="A45" s="234" t="s">
        <v>154</v>
      </c>
      <c r="B45" s="194">
        <f>Berekening!H107</f>
        <v>24.125966867096434</v>
      </c>
      <c r="C45" s="173" t="s">
        <v>3</v>
      </c>
      <c r="D45" s="173"/>
      <c r="E45" s="203"/>
      <c r="F45" s="203"/>
      <c r="G45" s="203"/>
      <c r="H45" s="303"/>
      <c r="I45" s="303"/>
      <c r="J45" s="303"/>
      <c r="K45" s="303"/>
      <c r="L45" s="303"/>
      <c r="M45" s="304"/>
      <c r="N45" s="297"/>
      <c r="O45" s="5"/>
    </row>
    <row r="46" spans="1:26" ht="18.75" customHeight="1">
      <c r="A46" s="231" t="s">
        <v>180</v>
      </c>
      <c r="B46" s="195">
        <f>Berekening!H112</f>
        <v>68040.497535746836</v>
      </c>
      <c r="C46" s="173" t="s">
        <v>142</v>
      </c>
      <c r="D46" s="173"/>
      <c r="E46" s="173" t="s">
        <v>156</v>
      </c>
      <c r="F46" s="194">
        <f>Berekening!F25</f>
        <v>19.5</v>
      </c>
      <c r="G46" s="173" t="s">
        <v>3</v>
      </c>
      <c r="H46" s="303"/>
      <c r="I46" s="303"/>
      <c r="J46" s="303"/>
      <c r="K46" s="303"/>
      <c r="L46" s="303"/>
      <c r="M46" s="304"/>
      <c r="N46" s="297"/>
      <c r="O46" s="5"/>
    </row>
    <row r="47" spans="1:26" ht="18.75" customHeight="1">
      <c r="A47" s="235" t="s">
        <v>101</v>
      </c>
      <c r="B47" s="195">
        <f>Berekening!H113</f>
        <v>2762.9574060159234</v>
      </c>
      <c r="C47" s="173" t="s">
        <v>141</v>
      </c>
      <c r="D47" s="173"/>
      <c r="E47" s="203"/>
      <c r="F47" s="203"/>
      <c r="G47" s="203"/>
      <c r="H47" s="303"/>
      <c r="I47" s="303"/>
      <c r="J47" s="303"/>
      <c r="K47" s="303"/>
      <c r="L47" s="303"/>
      <c r="M47" s="304"/>
      <c r="N47" s="298"/>
      <c r="O47" s="5"/>
    </row>
    <row r="48" spans="1:26" ht="17.25" customHeight="1">
      <c r="A48" s="234" t="s">
        <v>102</v>
      </c>
      <c r="B48" s="195">
        <f>Berekening!H114</f>
        <v>2681.501091267824</v>
      </c>
      <c r="C48" s="173" t="s">
        <v>141</v>
      </c>
      <c r="D48" s="173"/>
      <c r="E48" s="203"/>
      <c r="F48" s="203"/>
      <c r="G48" s="203"/>
      <c r="H48" s="303"/>
      <c r="I48" s="303"/>
      <c r="J48" s="303"/>
      <c r="K48" s="303"/>
      <c r="L48" s="303"/>
      <c r="M48" s="304"/>
      <c r="N48" s="5"/>
      <c r="O48" s="5"/>
    </row>
    <row r="49" spans="1:15" ht="18.75" customHeight="1">
      <c r="A49" s="16"/>
      <c r="B49" s="26"/>
      <c r="C49" s="6"/>
      <c r="D49" s="6"/>
      <c r="E49" s="2"/>
      <c r="F49" s="2"/>
      <c r="G49" s="2"/>
      <c r="H49" s="303"/>
      <c r="I49" s="303"/>
      <c r="J49" s="303"/>
      <c r="K49" s="303"/>
      <c r="L49" s="303"/>
      <c r="M49" s="304"/>
      <c r="N49" s="5"/>
      <c r="O49" s="5"/>
    </row>
    <row r="50" spans="1:15" ht="14.25" customHeight="1">
      <c r="A50" s="309" t="str">
        <f>A12</f>
        <v>Profiel fysisch mogelijk</v>
      </c>
      <c r="B50" s="310"/>
      <c r="C50" s="310"/>
      <c r="D50" s="6"/>
      <c r="E50" s="6"/>
      <c r="F50" s="26"/>
      <c r="G50" s="6"/>
      <c r="H50" s="303"/>
      <c r="I50" s="303"/>
      <c r="J50" s="303"/>
      <c r="K50" s="303"/>
      <c r="L50" s="303"/>
      <c r="M50" s="304"/>
      <c r="N50" s="5"/>
      <c r="O50" s="5"/>
    </row>
    <row r="51" spans="1:15" ht="18.75" customHeight="1">
      <c r="A51" s="1"/>
      <c r="B51" s="105"/>
      <c r="C51" s="105"/>
      <c r="D51" s="6"/>
      <c r="E51" s="2"/>
      <c r="F51" s="2"/>
      <c r="G51" s="2"/>
      <c r="H51" s="303"/>
      <c r="I51" s="303"/>
      <c r="J51" s="303"/>
      <c r="K51" s="303"/>
      <c r="L51" s="303"/>
      <c r="M51" s="304"/>
      <c r="N51" s="5"/>
      <c r="O51" s="35"/>
    </row>
    <row r="52" spans="1:15" ht="14.25" customHeight="1" thickBot="1">
      <c r="A52" s="307" t="str">
        <f>IF(F19&gt;=0.2,IF(F20&lt;=0.6,"Output geldig","Output niet geldig"),"Output niet geldig")</f>
        <v>Output geldig</v>
      </c>
      <c r="B52" s="308"/>
      <c r="C52" s="308"/>
      <c r="D52" s="20"/>
      <c r="E52" s="3"/>
      <c r="F52" s="3"/>
      <c r="G52" s="3"/>
      <c r="H52" s="305"/>
      <c r="I52" s="305"/>
      <c r="J52" s="305"/>
      <c r="K52" s="305"/>
      <c r="L52" s="305"/>
      <c r="M52" s="306"/>
      <c r="N52" s="5"/>
      <c r="O52" s="5"/>
    </row>
    <row r="53" spans="1:15">
      <c r="A53" s="2"/>
      <c r="B53" s="2"/>
      <c r="C53" s="2"/>
      <c r="D53" s="6"/>
      <c r="E53" s="6"/>
      <c r="F53" s="6"/>
      <c r="G53" s="2"/>
      <c r="H53" s="94"/>
      <c r="I53" s="94"/>
      <c r="J53" s="94"/>
      <c r="K53" s="94"/>
      <c r="L53" s="94"/>
      <c r="M53" s="94"/>
      <c r="N53" s="5"/>
      <c r="O53" s="5"/>
    </row>
    <row r="54" spans="1:15">
      <c r="A54" s="2"/>
      <c r="B54" s="2"/>
      <c r="C54" s="2"/>
      <c r="D54" s="6"/>
      <c r="E54" s="6"/>
      <c r="F54" s="6"/>
      <c r="G54" s="6"/>
      <c r="H54" s="94"/>
      <c r="I54" s="94"/>
      <c r="J54" s="94"/>
      <c r="K54" s="94"/>
      <c r="L54" s="94"/>
      <c r="M54" s="94"/>
      <c r="N54" s="5"/>
      <c r="O54" s="5"/>
    </row>
    <row r="55" spans="1:15">
      <c r="A55" s="2"/>
      <c r="B55" s="2"/>
      <c r="C55" s="2"/>
      <c r="D55" s="6"/>
      <c r="E55" s="6"/>
      <c r="F55" s="6"/>
      <c r="G55" s="6"/>
      <c r="H55" s="94"/>
      <c r="I55" s="94"/>
      <c r="J55" s="94"/>
      <c r="K55" s="94"/>
      <c r="L55" s="94"/>
      <c r="M55" s="94"/>
      <c r="N55" s="5"/>
      <c r="O55" s="5"/>
    </row>
    <row r="56" spans="1:15">
      <c r="A56" s="2"/>
      <c r="B56" s="2"/>
      <c r="C56" s="2"/>
      <c r="D56" s="6"/>
      <c r="E56" s="6"/>
      <c r="F56" s="6"/>
      <c r="G56" s="6"/>
      <c r="H56" s="94"/>
      <c r="I56" s="94"/>
      <c r="J56" s="94"/>
      <c r="K56" s="94"/>
      <c r="L56" s="94"/>
      <c r="M56" s="94"/>
      <c r="N56" s="5"/>
      <c r="O56" s="5"/>
    </row>
    <row r="57" spans="1:15">
      <c r="A57" s="9"/>
      <c r="B57" s="8"/>
      <c r="C57" s="8"/>
      <c r="D57" s="8"/>
      <c r="E57" s="8"/>
      <c r="F57" s="8"/>
      <c r="G57" s="8"/>
      <c r="H57" s="94"/>
      <c r="I57" s="94"/>
      <c r="J57" s="94"/>
      <c r="K57" s="94"/>
      <c r="L57" s="94"/>
      <c r="M57" s="94"/>
      <c r="N57" s="5"/>
      <c r="O57" s="5"/>
    </row>
    <row r="58" spans="1:15">
      <c r="A58" s="2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5"/>
      <c r="O58" s="5"/>
    </row>
    <row r="59" spans="1:15">
      <c r="A59" s="92"/>
      <c r="B59" s="29"/>
      <c r="C59" s="10"/>
      <c r="D59" s="2"/>
      <c r="E59" s="8"/>
      <c r="F59" s="8"/>
      <c r="G59" s="8"/>
      <c r="H59" s="8"/>
      <c r="I59" s="8"/>
      <c r="J59" s="8"/>
      <c r="K59" s="8"/>
      <c r="L59" s="8"/>
      <c r="M59" s="5"/>
      <c r="N59" s="5"/>
      <c r="O59" s="5"/>
    </row>
    <row r="60" spans="1:1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5"/>
      <c r="N60" s="5"/>
      <c r="O60" s="5"/>
    </row>
    <row r="61" spans="1:15">
      <c r="A61" s="7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5"/>
      <c r="N61" s="5"/>
      <c r="O61" s="5"/>
    </row>
    <row r="62" spans="1:1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5"/>
      <c r="N62" s="5"/>
      <c r="O62" s="5"/>
    </row>
    <row r="63" spans="1:15">
      <c r="A63" s="8"/>
      <c r="B63" s="29"/>
      <c r="C63" s="10"/>
      <c r="D63" s="8"/>
      <c r="E63" s="8"/>
      <c r="F63" s="8"/>
      <c r="G63" s="8"/>
      <c r="H63" s="8"/>
      <c r="I63" s="8"/>
      <c r="J63" s="8"/>
      <c r="K63" s="8"/>
      <c r="L63" s="8"/>
      <c r="M63" s="5"/>
      <c r="N63" s="5"/>
      <c r="O63" s="5"/>
    </row>
    <row r="64" spans="1:1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5"/>
      <c r="N64" s="5"/>
      <c r="O64" s="5"/>
    </row>
    <row r="65" spans="1:1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5"/>
      <c r="N65" s="5"/>
      <c r="O65" s="5"/>
    </row>
    <row r="66" spans="1:1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5"/>
      <c r="N66" s="5"/>
      <c r="O66" s="5"/>
    </row>
  </sheetData>
  <mergeCells count="17">
    <mergeCell ref="J22:M22"/>
    <mergeCell ref="N3:N13"/>
    <mergeCell ref="N38:N47"/>
    <mergeCell ref="H15:I15"/>
    <mergeCell ref="A12:C12"/>
    <mergeCell ref="B21:D21"/>
    <mergeCell ref="H40:M52"/>
    <mergeCell ref="A52:C52"/>
    <mergeCell ref="A50:C50"/>
    <mergeCell ref="H19:M20"/>
    <mergeCell ref="A16:B16"/>
    <mergeCell ref="A20:B20"/>
    <mergeCell ref="H17:I17"/>
    <mergeCell ref="H16:I16"/>
    <mergeCell ref="H18:I18"/>
    <mergeCell ref="H22:I22"/>
    <mergeCell ref="I23:M31"/>
  </mergeCells>
  <phoneticPr fontId="49" type="noConversion"/>
  <conditionalFormatting sqref="L14">
    <cfRule type="cellIs" dxfId="36" priority="49" operator="equal">
      <formula>"Voldoet niet"</formula>
    </cfRule>
    <cfRule type="cellIs" dxfId="35" priority="50" operator="equal">
      <formula>"Voldoet niet"</formula>
    </cfRule>
    <cfRule type="cellIs" dxfId="34" priority="51" operator="equal">
      <formula>"Voldoet"</formula>
    </cfRule>
  </conditionalFormatting>
  <conditionalFormatting sqref="H22 U17:V17 H15:I18">
    <cfRule type="cellIs" dxfId="33" priority="38" operator="equal">
      <formula>"Voldoet"</formula>
    </cfRule>
  </conditionalFormatting>
  <conditionalFormatting sqref="A10">
    <cfRule type="cellIs" dxfId="32" priority="25" operator="equal">
      <formula>"Invloed afrondingsstralen mag worden genegeerd"</formula>
    </cfRule>
  </conditionalFormatting>
  <conditionalFormatting sqref="A12:C12">
    <cfRule type="cellIs" dxfId="31" priority="23" stopIfTrue="1" operator="equal">
      <formula>"Profiel fysisch niet mogelijk"</formula>
    </cfRule>
    <cfRule type="cellIs" dxfId="30" priority="24" stopIfTrue="1" operator="equal">
      <formula>"Profiel fysisch mogelijk"</formula>
    </cfRule>
  </conditionalFormatting>
  <conditionalFormatting sqref="H15:I18 U17:V17">
    <cfRule type="cellIs" dxfId="29" priority="21" stopIfTrue="1" operator="equal">
      <formula>"Voldoet niet"</formula>
    </cfRule>
  </conditionalFormatting>
  <conditionalFormatting sqref="U18 I21:M21 H19">
    <cfRule type="cellIs" dxfId="28" priority="19" stopIfTrue="1" operator="equal">
      <formula>"Lip moet niet meegenomen worden in berekening"</formula>
    </cfRule>
    <cfRule type="cellIs" dxfId="27" priority="20" stopIfTrue="1" operator="equal">
      <formula>"Lip moet mee genomen worden in berekening"</formula>
    </cfRule>
  </conditionalFormatting>
  <conditionalFormatting sqref="A52:C52">
    <cfRule type="containsText" dxfId="26" priority="17" stopIfTrue="1" operator="containsText" text="Output geldig">
      <formula>NOT(ISERROR(SEARCH("Output geldig",A52)))</formula>
    </cfRule>
    <cfRule type="containsText" dxfId="25" priority="18" stopIfTrue="1" operator="containsText" text="Output niet geldig">
      <formula>NOT(ISERROR(SEARCH("Output niet geldig",A52)))</formula>
    </cfRule>
  </conditionalFormatting>
  <conditionalFormatting sqref="A50:C50">
    <cfRule type="containsText" dxfId="24" priority="15" stopIfTrue="1" operator="containsText" text="Profiel fysisch mogelijk">
      <formula>NOT(ISERROR(SEARCH("Profiel fysisch mogelijk",A50)))</formula>
    </cfRule>
    <cfRule type="containsText" dxfId="23" priority="16" stopIfTrue="1" operator="containsText" text="Profiel fysisch niet mogelijk ">
      <formula>NOT(ISERROR(SEARCH("Profiel fysisch niet mogelijk ",A50)))</formula>
    </cfRule>
  </conditionalFormatting>
  <conditionalFormatting sqref="U18:Z19 H19:M20">
    <cfRule type="containsText" dxfId="22" priority="9" stopIfTrue="1" operator="containsText" text="te">
      <formula>NOT(ISERROR(SEARCH("te",H18)))</formula>
    </cfRule>
    <cfRule type="containsText" dxfId="21" priority="10" stopIfTrue="1" operator="containsText" text="De lip mag worden meegenomen in de berekening">
      <formula>NOT(ISERROR(SEARCH("De lip mag worden meegenomen in de berekening",H18)))</formula>
    </cfRule>
  </conditionalFormatting>
  <conditionalFormatting sqref="P14:U15">
    <cfRule type="cellIs" dxfId="20" priority="5" stopIfTrue="1" operator="equal">
      <formula>"Lipafmetingen te groot. Geen verdere berekening"</formula>
    </cfRule>
    <cfRule type="cellIs" dxfId="19" priority="6" stopIfTrue="1" operator="equal">
      <formula>"Lipafmetingen te klein. Bereken C-profiel als U-profiel met dezelfde b als C-profiel"</formula>
    </cfRule>
    <cfRule type="cellIs" dxfId="18" priority="8" stopIfTrue="1" operator="equal">
      <formula>"De lip mag worden meegenomen in de berekening"</formula>
    </cfRule>
  </conditionalFormatting>
  <conditionalFormatting sqref="R10">
    <cfRule type="cellIs" priority="7" stopIfTrue="1" operator="notEqual">
      <formula>"De lip mag worden meegenomen in de berekening"</formula>
    </cfRule>
  </conditionalFormatting>
  <pageMargins left="0.70866141732283472" right="0.70866141732283472" top="0.55118110236220474" bottom="0.55118110236220474" header="0.31496062992125984" footer="0.31496062992125984"/>
  <pageSetup paperSize="9" scale="72" orientation="portrait" r:id="rId1"/>
  <drawing r:id="rId2"/>
  <legacyDrawing r:id="rId3"/>
  <oleObjects>
    <oleObject progId="Word.Document.12" shapeId="1025" r:id="rId4"/>
    <oleObject progId="Word.Document.12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44"/>
  <sheetViews>
    <sheetView topLeftCell="A16" zoomScaleNormal="100" workbookViewId="0">
      <selection activeCell="I38" sqref="I38"/>
    </sheetView>
  </sheetViews>
  <sheetFormatPr defaultRowHeight="15"/>
  <cols>
    <col min="2" max="2" width="12.85546875" customWidth="1"/>
    <col min="3" max="3" width="8.7109375" customWidth="1"/>
    <col min="4" max="4" width="7.85546875" customWidth="1"/>
    <col min="5" max="5" width="12.85546875" customWidth="1"/>
    <col min="6" max="6" width="12.140625" customWidth="1"/>
    <col min="7" max="7" width="8.7109375" customWidth="1"/>
    <col min="8" max="8" width="12.28515625" customWidth="1"/>
    <col min="9" max="9" width="17.28515625" customWidth="1"/>
    <col min="10" max="10" width="14" customWidth="1"/>
    <col min="11" max="11" width="11.42578125" customWidth="1"/>
    <col min="12" max="12" width="21.85546875" customWidth="1"/>
    <col min="13" max="13" width="10.28515625" customWidth="1"/>
    <col min="14" max="14" width="14.570312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7" customHeight="1">
      <c r="A1" s="224" t="s">
        <v>185</v>
      </c>
      <c r="B1" s="237"/>
      <c r="C1" s="237"/>
      <c r="D1" s="237"/>
      <c r="E1" s="237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customHeight="1" thickBot="1">
      <c r="A3" s="286" t="s">
        <v>12</v>
      </c>
      <c r="B3" s="47"/>
      <c r="C3" s="45"/>
      <c r="D3" s="45"/>
      <c r="F3" s="43" t="s">
        <v>7</v>
      </c>
      <c r="G3" s="44"/>
      <c r="H3" s="45"/>
      <c r="I3" s="5"/>
      <c r="J3" s="5"/>
      <c r="K3" s="5"/>
      <c r="L3" s="5"/>
      <c r="M3" s="5"/>
      <c r="N3" s="5"/>
      <c r="O3" s="5"/>
      <c r="P3" s="5"/>
      <c r="Q3" s="5"/>
    </row>
    <row r="4" spans="1:17" ht="18.75" customHeight="1">
      <c r="A4" s="238" t="s">
        <v>13</v>
      </c>
      <c r="B4" s="62">
        <f>'Input &amp; output'!H4</f>
        <v>210000</v>
      </c>
      <c r="C4" s="13" t="s">
        <v>15</v>
      </c>
      <c r="D4" s="25"/>
      <c r="F4" s="223" t="s">
        <v>4</v>
      </c>
      <c r="G4" s="64">
        <f>'Input &amp; output'!B4</f>
        <v>100</v>
      </c>
      <c r="H4" s="17" t="s">
        <v>3</v>
      </c>
      <c r="I4" s="131">
        <f>IF(G4&gt;=(2*G7),1,0)</f>
        <v>1</v>
      </c>
      <c r="J4" s="316" t="str">
        <f>IF(G4&gt;=(2*G7),"Hoogte is ten minste gelijk aan 2x de dikte","Hoogte is kleiner dan 2x de dikte")</f>
        <v>Hoogte is ten minste gelijk aan 2x de dikte</v>
      </c>
      <c r="K4" s="316"/>
      <c r="L4" s="316"/>
      <c r="M4" s="5"/>
      <c r="N4" s="5"/>
      <c r="O4" s="5"/>
      <c r="P4" s="5"/>
      <c r="Q4" s="5"/>
    </row>
    <row r="5" spans="1:17" ht="18.75" customHeight="1">
      <c r="A5" s="223" t="s">
        <v>14</v>
      </c>
      <c r="B5" s="63">
        <f>B4/(2*(1+B6))</f>
        <v>80769.230769230766</v>
      </c>
      <c r="C5" s="6" t="s">
        <v>15</v>
      </c>
      <c r="D5" s="17"/>
      <c r="F5" s="223" t="s">
        <v>5</v>
      </c>
      <c r="G5" s="64">
        <f>'Input &amp; output'!B5</f>
        <v>50</v>
      </c>
      <c r="H5" s="17" t="s">
        <v>3</v>
      </c>
      <c r="I5" s="131">
        <f>IF(G5&gt;=(2*G7),1,0)</f>
        <v>1</v>
      </c>
      <c r="J5" s="319" t="str">
        <f>IF(G5&gt;=(2*G7),"Breedte is ten minste gelijk aan 2x de dikte","Breedte is kleiner dan 2x de dikte")</f>
        <v>Breedte is ten minste gelijk aan 2x de dikte</v>
      </c>
      <c r="K5" s="319"/>
      <c r="L5" s="319"/>
      <c r="M5" s="5"/>
      <c r="N5" s="5"/>
      <c r="O5" s="5"/>
      <c r="P5" s="5"/>
      <c r="Q5" s="5"/>
    </row>
    <row r="6" spans="1:17" ht="18.75" customHeight="1">
      <c r="A6" s="239" t="s">
        <v>79</v>
      </c>
      <c r="B6" s="64">
        <f>'Input &amp; output'!H5</f>
        <v>0.3</v>
      </c>
      <c r="C6" s="6"/>
      <c r="D6" s="17"/>
      <c r="F6" s="223" t="s">
        <v>6</v>
      </c>
      <c r="G6" s="64">
        <f>'Input &amp; output'!B6</f>
        <v>20</v>
      </c>
      <c r="H6" s="17" t="s">
        <v>3</v>
      </c>
      <c r="I6" s="131">
        <f>IF(G6&lt;=(0.5*G4),1,0)</f>
        <v>1</v>
      </c>
      <c r="J6" s="319" t="str">
        <f>IF(G6&lt;=(0.5*G4),"Lip is kleiner of gelijk aan halve profielhoogte","Lip is groter dan de halve profielhoogte")</f>
        <v>Lip is kleiner of gelijk aan halve profielhoogte</v>
      </c>
      <c r="K6" s="319"/>
      <c r="L6" s="319"/>
      <c r="M6" s="5"/>
      <c r="N6" s="5"/>
      <c r="O6" s="5"/>
      <c r="P6" s="5"/>
      <c r="Q6" s="5"/>
    </row>
    <row r="7" spans="1:17" ht="18.75" customHeight="1">
      <c r="A7" s="240" t="s">
        <v>169</v>
      </c>
      <c r="B7" s="177">
        <f>'Input &amp; output'!H6</f>
        <v>350</v>
      </c>
      <c r="C7" s="6" t="s">
        <v>15</v>
      </c>
      <c r="D7" s="17"/>
      <c r="F7" s="223" t="s">
        <v>2</v>
      </c>
      <c r="G7" s="64">
        <f>'Input &amp; output'!B7</f>
        <v>1</v>
      </c>
      <c r="H7" s="17" t="s">
        <v>3</v>
      </c>
      <c r="I7" s="131">
        <f>IF(MIN('Input &amp; output'!B39:B42,'Input &amp; output'!F39:F46)&gt;0,1,0)</f>
        <v>1</v>
      </c>
      <c r="J7" s="319" t="str">
        <f>IF(MIN('Input &amp; output'!B39:B42,'Input &amp; output'!F39:F44)&gt;0,"Alle effectieve profielmaten zijn positief","Enkele effectieve profielmaten zijn negatief")</f>
        <v>Alle effectieve profielmaten zijn positief</v>
      </c>
      <c r="K7" s="319"/>
      <c r="L7" s="319"/>
      <c r="M7" s="5"/>
      <c r="N7" s="5"/>
      <c r="O7" s="5"/>
      <c r="P7" s="5"/>
      <c r="Q7" s="5"/>
    </row>
    <row r="8" spans="1:17" ht="18.75" customHeight="1" thickBot="1">
      <c r="A8" s="240" t="s">
        <v>186</v>
      </c>
      <c r="B8" s="64">
        <f>'Input &amp; output'!H7</f>
        <v>1</v>
      </c>
      <c r="C8" s="6"/>
      <c r="D8" s="17"/>
      <c r="F8" s="242" t="s">
        <v>1</v>
      </c>
      <c r="G8" s="65">
        <f>'Input &amp; output'!B8</f>
        <v>-0.5</v>
      </c>
      <c r="H8" s="24" t="s">
        <v>3</v>
      </c>
      <c r="I8" s="5"/>
      <c r="J8" s="5"/>
      <c r="K8" s="5"/>
      <c r="L8" s="5"/>
      <c r="M8" s="5"/>
      <c r="N8" s="5"/>
      <c r="O8" s="5"/>
      <c r="P8" s="5"/>
      <c r="Q8" s="5"/>
    </row>
    <row r="9" spans="1:17" ht="18.75" customHeight="1" thickBot="1">
      <c r="A9" s="241" t="s">
        <v>178</v>
      </c>
      <c r="B9" s="65">
        <f>'Input &amp; output'!H8</f>
        <v>1</v>
      </c>
      <c r="C9" s="20"/>
      <c r="D9" s="24"/>
      <c r="F9" s="6"/>
      <c r="G9" s="6"/>
      <c r="H9" s="6"/>
      <c r="I9" s="5"/>
      <c r="J9" s="316" t="str">
        <f>IF(SUM(I4:I7)=4,"Profiel fysisch mogelijk","Profiel fysisch niet mogelijk")</f>
        <v>Profiel fysisch mogelijk</v>
      </c>
      <c r="K9" s="316"/>
      <c r="L9" s="316"/>
      <c r="M9" s="5"/>
      <c r="O9" s="5"/>
      <c r="P9" s="5"/>
      <c r="Q9" s="5"/>
    </row>
    <row r="10" spans="1:17" ht="14.25" customHeight="1">
      <c r="A10" s="5"/>
      <c r="B10" s="32"/>
      <c r="C10" s="32"/>
      <c r="D10" s="32"/>
      <c r="I10" s="5"/>
      <c r="J10" s="5"/>
      <c r="K10" s="5"/>
      <c r="L10" s="6"/>
      <c r="M10" s="6"/>
      <c r="O10" s="6"/>
      <c r="P10" s="5"/>
      <c r="Q10" s="5"/>
    </row>
    <row r="11" spans="1:17" ht="14.25" customHeight="1">
      <c r="A11" s="6"/>
      <c r="B11" s="5"/>
      <c r="C11" s="5"/>
      <c r="D11" s="8"/>
      <c r="E11" s="9"/>
      <c r="F11" s="5"/>
      <c r="G11" s="5"/>
      <c r="H11" s="5"/>
      <c r="I11" s="5"/>
      <c r="J11" s="79"/>
      <c r="K11" s="79"/>
      <c r="L11" s="5"/>
      <c r="M11" s="6"/>
      <c r="N11" s="6"/>
      <c r="O11" s="6"/>
      <c r="P11" s="5"/>
      <c r="Q11" s="5"/>
    </row>
    <row r="12" spans="1:17" ht="18.75" customHeight="1">
      <c r="A12" s="37" t="s">
        <v>41</v>
      </c>
      <c r="B12" s="32"/>
      <c r="C12" s="32"/>
      <c r="D12" s="32"/>
      <c r="E12" s="32"/>
      <c r="F12" s="32"/>
      <c r="G12" s="5"/>
      <c r="H12" s="5"/>
      <c r="I12" s="5"/>
      <c r="J12" s="79"/>
      <c r="K12" s="79"/>
      <c r="L12" s="5"/>
      <c r="M12" s="5"/>
      <c r="N12" s="6"/>
      <c r="O12" s="6"/>
      <c r="P12" s="5"/>
      <c r="Q12" s="5"/>
    </row>
    <row r="13" spans="1:17" ht="18.75" customHeight="1">
      <c r="A13" s="228" t="s">
        <v>187</v>
      </c>
      <c r="B13" s="28"/>
      <c r="C13" s="32">
        <f>G8</f>
        <v>-0.5</v>
      </c>
      <c r="D13" s="87" t="s">
        <v>42</v>
      </c>
      <c r="E13" s="40">
        <f>5*G7</f>
        <v>5</v>
      </c>
      <c r="F13" s="318" t="str">
        <f>IF(C13&lt;=E13,IF(C14&lt;=E14,"Invl. afrondingsstralen mag worden genegeerd","Invl. afrondingsstralen mag niet worden genegeerd"),"Invl. afrondingsstralen mag niet worden genegeerd")</f>
        <v>Invl. afrondingsstralen mag worden genegeerd</v>
      </c>
      <c r="G13" s="318"/>
      <c r="H13" s="318"/>
      <c r="I13" s="318"/>
      <c r="J13" s="167"/>
      <c r="K13" s="84" t="s">
        <v>77</v>
      </c>
      <c r="L13" s="5"/>
      <c r="Q13" s="5"/>
    </row>
    <row r="14" spans="1:17" ht="18.75" customHeight="1">
      <c r="A14" s="316" t="s">
        <v>188</v>
      </c>
      <c r="B14" s="317"/>
      <c r="C14" s="32">
        <f>G8</f>
        <v>-0.5</v>
      </c>
      <c r="D14" s="87" t="s">
        <v>42</v>
      </c>
      <c r="E14" s="40">
        <f>0.1*MIN(B30,D30,F30)</f>
        <v>1.9500000000000002</v>
      </c>
      <c r="F14" s="318"/>
      <c r="G14" s="318"/>
      <c r="H14" s="318"/>
      <c r="I14" s="318"/>
      <c r="J14" s="167"/>
      <c r="K14" s="84" t="s">
        <v>77</v>
      </c>
      <c r="L14" s="5"/>
      <c r="M14" s="5"/>
      <c r="N14" s="56"/>
      <c r="P14" s="5"/>
      <c r="Q14" s="5"/>
    </row>
    <row r="15" spans="1:17" ht="18.75" customHeight="1">
      <c r="A15" s="129"/>
      <c r="B15" s="129"/>
      <c r="C15" s="32"/>
      <c r="D15" s="87"/>
      <c r="E15" s="40"/>
      <c r="F15" s="127"/>
      <c r="G15" s="127"/>
      <c r="H15" s="127"/>
      <c r="I15" s="127"/>
      <c r="K15" s="84"/>
      <c r="L15" s="5"/>
      <c r="M15" s="5"/>
      <c r="N15" s="56"/>
      <c r="P15" s="5"/>
      <c r="Q15" s="5"/>
    </row>
    <row r="16" spans="1:17" ht="18.75" customHeight="1" thickBot="1">
      <c r="A16" s="129"/>
      <c r="B16" s="129"/>
      <c r="C16" s="32"/>
      <c r="D16" s="87"/>
      <c r="E16" s="40"/>
      <c r="F16" s="127"/>
      <c r="G16" s="127"/>
      <c r="H16" s="127"/>
      <c r="I16" s="127"/>
      <c r="K16" s="84"/>
      <c r="L16" s="5"/>
      <c r="M16" s="5"/>
      <c r="N16" s="56"/>
      <c r="P16" s="5"/>
      <c r="Q16" s="5"/>
    </row>
    <row r="17" spans="1:17" ht="18.75" customHeight="1" thickBot="1">
      <c r="A17" s="43" t="s">
        <v>0</v>
      </c>
      <c r="B17" s="44"/>
      <c r="C17" s="45"/>
      <c r="D17" s="45"/>
      <c r="I17" s="6"/>
      <c r="J17" s="6"/>
      <c r="K17" s="5"/>
      <c r="L17" s="5"/>
    </row>
    <row r="18" spans="1:17" ht="18.75" customHeight="1">
      <c r="A18" s="240" t="s">
        <v>189</v>
      </c>
      <c r="B18" s="68">
        <f>G8+(G7/2)</f>
        <v>0</v>
      </c>
      <c r="C18" s="6" t="s">
        <v>3</v>
      </c>
      <c r="D18" s="17"/>
      <c r="I18" s="279" t="s">
        <v>235</v>
      </c>
      <c r="K18" s="5"/>
      <c r="L18" s="5"/>
    </row>
    <row r="19" spans="1:17" ht="18.75" customHeight="1">
      <c r="A19" s="240" t="s">
        <v>24</v>
      </c>
      <c r="B19" s="68">
        <f>B18*(TAN(45*PI()/180)-SIN(45*PI()/180))</f>
        <v>0</v>
      </c>
      <c r="C19" s="6" t="s">
        <v>3</v>
      </c>
      <c r="D19" s="17"/>
      <c r="F19" s="119"/>
      <c r="I19" s="279" t="s">
        <v>236</v>
      </c>
      <c r="K19" s="5"/>
      <c r="L19" s="5"/>
    </row>
    <row r="20" spans="1:17" ht="18.75" customHeight="1">
      <c r="A20" s="243" t="s">
        <v>190</v>
      </c>
      <c r="B20" s="68">
        <f>0.5*PI()*B18</f>
        <v>0</v>
      </c>
      <c r="C20" s="6" t="s">
        <v>3</v>
      </c>
      <c r="D20" s="17"/>
      <c r="I20" s="279" t="s">
        <v>239</v>
      </c>
      <c r="K20" s="5"/>
      <c r="L20" s="5"/>
    </row>
    <row r="21" spans="1:17" ht="18.75" customHeight="1">
      <c r="A21" s="240" t="s">
        <v>191</v>
      </c>
      <c r="B21" s="68">
        <f>0.637*B18</f>
        <v>0</v>
      </c>
      <c r="C21" s="6" t="s">
        <v>3</v>
      </c>
      <c r="D21" s="17"/>
      <c r="I21" s="279" t="s">
        <v>237</v>
      </c>
      <c r="K21" s="5"/>
      <c r="L21" s="5"/>
    </row>
    <row r="22" spans="1:17" ht="19.5" customHeight="1">
      <c r="A22" s="240" t="s">
        <v>192</v>
      </c>
      <c r="B22" s="68">
        <f>0.149*(POWER(B18,3)*G7)</f>
        <v>0</v>
      </c>
      <c r="C22" s="173" t="s">
        <v>19</v>
      </c>
      <c r="D22" s="17"/>
      <c r="E22" s="32"/>
      <c r="F22" s="32"/>
      <c r="G22" s="32"/>
      <c r="H22" s="32"/>
      <c r="I22" s="279" t="s">
        <v>238</v>
      </c>
      <c r="K22" s="5"/>
      <c r="L22" s="5"/>
    </row>
    <row r="23" spans="1:17" ht="21.75" customHeight="1" thickBot="1">
      <c r="A23" s="244" t="s">
        <v>193</v>
      </c>
      <c r="B23" s="69">
        <f>((PI()*POWER((G8+G7),2))-(PI()*POWER(G8,2)))/4</f>
        <v>0</v>
      </c>
      <c r="C23" s="174" t="s">
        <v>8</v>
      </c>
      <c r="D23" s="24"/>
      <c r="E23" s="32"/>
      <c r="F23" s="32"/>
      <c r="G23" s="32"/>
      <c r="H23" s="32"/>
      <c r="I23" s="280" t="s">
        <v>240</v>
      </c>
      <c r="J23" s="5"/>
      <c r="K23" s="5"/>
      <c r="L23" s="5"/>
    </row>
    <row r="24" spans="1:17" ht="14.25" customHeight="1">
      <c r="A24" s="197" t="str">
        <f>IF(B18=0,"Let op! Er wordt gerekend met scherpe hoeken!"," ")</f>
        <v>Let op! Er wordt gerekend met scherpe hoeken!</v>
      </c>
      <c r="B24" s="50"/>
      <c r="C24" s="6"/>
      <c r="D24" s="32"/>
      <c r="E24" s="32"/>
      <c r="F24" s="121"/>
      <c r="G24" s="32"/>
      <c r="H24" s="32"/>
      <c r="I24" s="32"/>
      <c r="J24" s="32"/>
      <c r="K24" s="32"/>
      <c r="L24" s="32"/>
      <c r="M24" s="165"/>
      <c r="N24" s="50"/>
      <c r="O24" s="6"/>
      <c r="P24" s="5"/>
      <c r="Q24" s="5"/>
    </row>
    <row r="25" spans="1:17" ht="18.75" customHeight="1" thickBot="1">
      <c r="A25" s="8"/>
      <c r="B25" s="50"/>
      <c r="C25" s="6"/>
      <c r="D25" s="32"/>
      <c r="E25" s="32"/>
      <c r="F25" s="32"/>
      <c r="G25" s="32"/>
      <c r="H25" s="32"/>
      <c r="I25" s="32"/>
      <c r="J25" s="32"/>
      <c r="K25" s="32"/>
      <c r="L25" s="32"/>
      <c r="M25" s="165"/>
      <c r="N25" s="50"/>
      <c r="O25" s="6"/>
      <c r="P25" s="5"/>
      <c r="Q25" s="5"/>
    </row>
    <row r="26" spans="1:17" ht="18.75" customHeight="1" thickBot="1">
      <c r="A26" s="43" t="s">
        <v>31</v>
      </c>
      <c r="B26" s="44"/>
      <c r="C26" s="44"/>
      <c r="D26" s="44"/>
      <c r="E26" s="44"/>
      <c r="F26" s="45"/>
      <c r="H26" s="50"/>
      <c r="I26" s="6"/>
      <c r="J26" s="5"/>
      <c r="K26" s="5"/>
    </row>
    <row r="27" spans="1:17" ht="18.75" customHeight="1">
      <c r="A27" s="223" t="s">
        <v>4</v>
      </c>
      <c r="B27" s="67">
        <f>G4</f>
        <v>100</v>
      </c>
      <c r="C27" s="272" t="s">
        <v>5</v>
      </c>
      <c r="D27" s="67">
        <f>G5</f>
        <v>50</v>
      </c>
      <c r="E27" s="272" t="s">
        <v>6</v>
      </c>
      <c r="F27" s="70">
        <f>G6</f>
        <v>20</v>
      </c>
      <c r="H27" s="5"/>
      <c r="I27" s="5"/>
      <c r="J27" s="5"/>
      <c r="K27" s="5"/>
    </row>
    <row r="28" spans="1:17" ht="17.25" customHeight="1">
      <c r="A28" s="223" t="s">
        <v>241</v>
      </c>
      <c r="B28" s="68">
        <f>B27-G7</f>
        <v>99</v>
      </c>
      <c r="C28" s="257" t="s">
        <v>229</v>
      </c>
      <c r="D28" s="68">
        <f>D27-G7</f>
        <v>49</v>
      </c>
      <c r="E28" s="257" t="s">
        <v>232</v>
      </c>
      <c r="F28" s="71">
        <f>F27-(0.5*G7)</f>
        <v>19.5</v>
      </c>
      <c r="H28" s="279" t="s">
        <v>242</v>
      </c>
      <c r="I28" s="158"/>
      <c r="J28" s="279" t="s">
        <v>245</v>
      </c>
      <c r="K28" s="281"/>
      <c r="L28" s="279" t="s">
        <v>246</v>
      </c>
      <c r="M28" s="281"/>
    </row>
    <row r="29" spans="1:17" ht="17.25" customHeight="1">
      <c r="A29" s="223" t="s">
        <v>227</v>
      </c>
      <c r="B29" s="68">
        <f>B28-(2*B18)</f>
        <v>99</v>
      </c>
      <c r="C29" s="257" t="s">
        <v>230</v>
      </c>
      <c r="D29" s="68">
        <f>D28-(2*B18)</f>
        <v>49</v>
      </c>
      <c r="E29" s="257" t="s">
        <v>156</v>
      </c>
      <c r="F29" s="71">
        <f>F28-B18</f>
        <v>19.5</v>
      </c>
      <c r="H29" s="279" t="s">
        <v>243</v>
      </c>
      <c r="I29" s="158"/>
      <c r="J29" s="279" t="s">
        <v>247</v>
      </c>
      <c r="K29" s="281"/>
      <c r="L29" s="279" t="s">
        <v>248</v>
      </c>
      <c r="M29" s="281"/>
    </row>
    <row r="30" spans="1:17" ht="19.5" customHeight="1" thickBot="1">
      <c r="A30" s="242" t="s">
        <v>228</v>
      </c>
      <c r="B30" s="69">
        <f>B28-(2*B19)</f>
        <v>99</v>
      </c>
      <c r="C30" s="273" t="s">
        <v>231</v>
      </c>
      <c r="D30" s="69">
        <f>D28-(2*B19)</f>
        <v>49</v>
      </c>
      <c r="E30" s="273" t="s">
        <v>233</v>
      </c>
      <c r="F30" s="72">
        <f>F28-B19</f>
        <v>19.5</v>
      </c>
      <c r="H30" s="279" t="s">
        <v>244</v>
      </c>
      <c r="I30" s="158"/>
      <c r="J30" s="279" t="s">
        <v>249</v>
      </c>
      <c r="K30" s="281"/>
      <c r="L30" s="279" t="s">
        <v>250</v>
      </c>
      <c r="M30" s="281"/>
    </row>
    <row r="31" spans="1:17" ht="14.25" customHeight="1">
      <c r="I31" s="5"/>
      <c r="J31" s="34"/>
      <c r="K31" s="5"/>
      <c r="L31" s="5"/>
      <c r="M31" s="5"/>
      <c r="P31" s="5"/>
      <c r="Q31" s="5"/>
    </row>
    <row r="32" spans="1:17" ht="14.25" customHeight="1" thickBot="1">
      <c r="I32" s="50"/>
      <c r="J32" s="34"/>
      <c r="K32" s="5"/>
      <c r="L32" s="5"/>
      <c r="M32" s="5"/>
      <c r="P32" s="5"/>
      <c r="Q32" s="5"/>
    </row>
    <row r="33" spans="1:17" ht="21" customHeight="1" thickBot="1">
      <c r="A33" s="286" t="s">
        <v>292</v>
      </c>
      <c r="B33" s="44"/>
      <c r="C33" s="44"/>
      <c r="D33" s="44"/>
      <c r="E33" s="49"/>
      <c r="F33" s="44"/>
      <c r="G33" s="44"/>
      <c r="H33" s="45"/>
      <c r="I33" s="32"/>
      <c r="J33" s="34"/>
      <c r="K33" s="5"/>
      <c r="L33" s="5"/>
      <c r="M33" s="5"/>
      <c r="P33" s="5"/>
      <c r="Q33" s="5"/>
    </row>
    <row r="34" spans="1:17" ht="16.5" customHeight="1">
      <c r="A34" s="245" t="s">
        <v>194</v>
      </c>
      <c r="B34" s="91"/>
      <c r="C34" s="91"/>
      <c r="D34" s="287" t="s">
        <v>195</v>
      </c>
      <c r="E34" s="42"/>
      <c r="F34" s="42"/>
      <c r="G34" s="41"/>
      <c r="H34" s="80"/>
      <c r="I34" s="32"/>
      <c r="J34" s="279"/>
      <c r="K34" s="279"/>
      <c r="L34" s="279"/>
      <c r="M34" s="279"/>
    </row>
    <row r="35" spans="1:17" ht="18.75" customHeight="1">
      <c r="A35" s="274" t="s">
        <v>196</v>
      </c>
      <c r="B35" s="206">
        <f>(2*G5*G7)+(G7*(G4-(2*G7)))+(2*G7*(G6-G7))</f>
        <v>236</v>
      </c>
      <c r="C35" s="207" t="s">
        <v>8</v>
      </c>
      <c r="D35" s="278" t="s">
        <v>201</v>
      </c>
      <c r="E35" s="206">
        <f>(G7*B29)+(2*D29*G7)+(2*G7*F29)+(4*B23)</f>
        <v>236</v>
      </c>
      <c r="F35" s="208" t="s">
        <v>8</v>
      </c>
      <c r="G35" s="209"/>
      <c r="H35" s="210"/>
      <c r="I35" s="32"/>
      <c r="J35" s="279" t="s">
        <v>251</v>
      </c>
      <c r="K35" s="279"/>
      <c r="L35" s="279"/>
      <c r="M35" s="279"/>
    </row>
    <row r="36" spans="1:17" ht="18.75" customHeight="1">
      <c r="A36" s="275" t="s">
        <v>170</v>
      </c>
      <c r="B36" s="68">
        <f>(((2*G5*G7*(0.5*G5))+(G7*(G4-(2*G7))*(0.5*G7))+(2*G7*(G6-G7)*(G5-(0.5*G7))))/((2*G5*G7)+(G7*(G4-(2*G7)))+(2*G7*(G6-G7))))-(G7/2)</f>
        <v>18.271186440677965</v>
      </c>
      <c r="C36" s="73" t="s">
        <v>3</v>
      </c>
      <c r="D36" s="258" t="s">
        <v>202</v>
      </c>
      <c r="E36" s="68">
        <f>(((B29*G7*(0.5*G7))+(2*B23*((B18-B21)+(0.5*G7)))+(2*D29*G7*(0.5*G5))+(2*B23*(G5-((0.5*G7)+(B18-B21))))+(2*F29*G7*(G5-(0.5*G7))))/E35)-(G7/2)</f>
        <v>18.271186440677965</v>
      </c>
      <c r="F36" s="86" t="s">
        <v>3</v>
      </c>
      <c r="G36" s="2"/>
      <c r="H36" s="17"/>
      <c r="I36" s="32"/>
      <c r="J36" s="279" t="s">
        <v>252</v>
      </c>
      <c r="K36" s="279"/>
      <c r="L36" s="279"/>
      <c r="M36" s="279"/>
    </row>
    <row r="37" spans="1:17" ht="18.75" customHeight="1">
      <c r="A37" s="275" t="s">
        <v>171</v>
      </c>
      <c r="B37" s="68">
        <f>B28/2</f>
        <v>49.5</v>
      </c>
      <c r="C37" s="73" t="s">
        <v>3</v>
      </c>
      <c r="D37" s="258" t="s">
        <v>203</v>
      </c>
      <c r="E37" s="68">
        <f>B28/2</f>
        <v>49.5</v>
      </c>
      <c r="F37" s="85" t="s">
        <v>3</v>
      </c>
      <c r="G37" s="2"/>
      <c r="H37" s="17"/>
      <c r="I37" s="32"/>
      <c r="J37" s="279" t="s">
        <v>253</v>
      </c>
      <c r="K37" s="279"/>
      <c r="L37" s="279"/>
      <c r="M37" s="279"/>
    </row>
    <row r="38" spans="1:17" ht="18.75" customHeight="1">
      <c r="A38" s="276" t="s">
        <v>197</v>
      </c>
      <c r="B38" s="201">
        <f>(2*(D28*G7*POWER((B28/2),2)))+((1/12)*G7*POWER(B28,3))+(2*(((1/12)*G7*POWER((F28),3))+(G7*(F28)*POWER(((B28/2)-F28+(F28/2)),2))))</f>
        <v>383841</v>
      </c>
      <c r="C38" s="172" t="s">
        <v>19</v>
      </c>
      <c r="D38" s="258" t="s">
        <v>234</v>
      </c>
      <c r="E38" s="196">
        <f>(2*((D29*G7*POWER((B28/2),2))))+((1/12)*G7*POWER(B29,3))+(4*(B22+(B23*POWER(((B29/2)+B21),2))))+(2*(((1/12)*G7*POWER(F29,3))+(G7*F29*POWER(((G4/2)-G6+(F29/2)),2))))</f>
        <v>383841</v>
      </c>
      <c r="F38" s="171" t="s">
        <v>19</v>
      </c>
      <c r="G38" s="2"/>
      <c r="H38" s="17"/>
      <c r="I38" s="32"/>
      <c r="J38" s="279" t="s">
        <v>254</v>
      </c>
      <c r="K38" s="279"/>
      <c r="L38" s="279"/>
      <c r="M38" s="279"/>
    </row>
    <row r="39" spans="1:17" ht="18.75" customHeight="1">
      <c r="A39" s="276" t="s">
        <v>198</v>
      </c>
      <c r="B39" s="201">
        <f>(G7*B28*(B36^2))+(2/12*G7*(D28^3))+(2*G7*D28*(D28/2-E36)^2)+(2*G7*F28*(D28-E36)^2)</f>
        <v>93286.310734463274</v>
      </c>
      <c r="C39" s="172" t="s">
        <v>19</v>
      </c>
      <c r="D39" s="258" t="s">
        <v>204</v>
      </c>
      <c r="E39" s="196">
        <f>((B29*G7*POWER(E36,2)))+(2*(B22+(B23*POWER((E36-(B18-B21)),2))))+(2*(((1/12)*G7*POWER(D29,3))+(D29*G7*POWER(((D28/2)-E36),2))))+(2*(B22+(B23*POWER(((D28-(B18-B21))-E36),2))))+(2*((F29*G7*POWER((D28-E36),2))))</f>
        <v>93286.310734463274</v>
      </c>
      <c r="F39" s="171" t="s">
        <v>19</v>
      </c>
      <c r="G39" s="2"/>
      <c r="H39" s="17"/>
      <c r="I39" s="32"/>
      <c r="J39" s="279" t="s">
        <v>255</v>
      </c>
      <c r="K39" s="279"/>
      <c r="L39" s="279"/>
      <c r="M39" s="279"/>
    </row>
    <row r="40" spans="1:17" ht="18.75" customHeight="1">
      <c r="A40" s="276" t="s">
        <v>199</v>
      </c>
      <c r="B40" s="68">
        <f>SQRT(B38/B35)</f>
        <v>40.329206727311622</v>
      </c>
      <c r="C40" s="73" t="s">
        <v>3</v>
      </c>
      <c r="D40" s="258" t="s">
        <v>205</v>
      </c>
      <c r="E40" s="68">
        <f>SQRT(E38/E35)</f>
        <v>40.329206727311622</v>
      </c>
      <c r="F40" s="86" t="s">
        <v>3</v>
      </c>
      <c r="G40" s="2"/>
      <c r="H40" s="17"/>
      <c r="I40" s="32"/>
      <c r="J40" s="279" t="s">
        <v>256</v>
      </c>
      <c r="K40" s="279"/>
      <c r="L40" s="279"/>
      <c r="M40" s="279"/>
    </row>
    <row r="41" spans="1:17" ht="18.75" customHeight="1" thickBot="1">
      <c r="A41" s="277" t="s">
        <v>200</v>
      </c>
      <c r="B41" s="69">
        <f>SQRT(B39/B35)</f>
        <v>19.881674418629927</v>
      </c>
      <c r="C41" s="66" t="s">
        <v>3</v>
      </c>
      <c r="D41" s="262" t="s">
        <v>206</v>
      </c>
      <c r="E41" s="69">
        <f>SQRT(E39/E35)</f>
        <v>19.881674418629927</v>
      </c>
      <c r="F41" s="109" t="s">
        <v>3</v>
      </c>
      <c r="G41" s="3"/>
      <c r="H41" s="24"/>
      <c r="I41" s="32"/>
      <c r="J41" s="279" t="s">
        <v>257</v>
      </c>
      <c r="K41" s="279"/>
      <c r="L41" s="279"/>
      <c r="M41" s="279"/>
    </row>
    <row r="42" spans="1:17" ht="15" customHeight="1">
      <c r="A42" s="198" t="str">
        <f>IF(B18=0,"Let op! Er wordt gerekend met scherpe hoeken!"," ")</f>
        <v>Let op! Er wordt gerekend met scherpe hoeken!</v>
      </c>
      <c r="B42" s="8"/>
      <c r="C42" s="8"/>
      <c r="D42" s="8"/>
      <c r="E42" s="33"/>
      <c r="F42" s="50"/>
      <c r="G42" s="8"/>
      <c r="H42" s="6"/>
      <c r="I42" s="32"/>
      <c r="J42" s="34"/>
      <c r="K42" s="6"/>
      <c r="L42" s="6"/>
      <c r="M42" s="6"/>
      <c r="N42" s="160"/>
      <c r="O42" s="5"/>
      <c r="P42" s="5"/>
      <c r="Q42" s="5"/>
    </row>
    <row r="43" spans="1:17" ht="15" customHeight="1">
      <c r="A43" s="33"/>
      <c r="B43" s="8"/>
      <c r="C43" s="8"/>
      <c r="D43" s="8"/>
      <c r="E43" s="33"/>
      <c r="F43" s="50"/>
      <c r="G43" s="8"/>
      <c r="H43" s="6"/>
      <c r="I43" s="32"/>
      <c r="J43" s="34"/>
      <c r="K43" s="6"/>
      <c r="L43" s="6"/>
      <c r="M43" s="6"/>
      <c r="N43" s="160"/>
      <c r="O43" s="5"/>
      <c r="P43" s="5"/>
      <c r="Q43" s="5"/>
    </row>
    <row r="44" spans="1:17" ht="18.75" customHeight="1">
      <c r="B44" s="8"/>
      <c r="C44" s="8"/>
      <c r="D44" s="8"/>
      <c r="E44" s="33"/>
      <c r="F44" s="50"/>
      <c r="G44" s="8"/>
      <c r="H44" s="6"/>
      <c r="I44" s="32"/>
      <c r="J44" s="34"/>
      <c r="K44" s="6"/>
      <c r="L44" s="6"/>
      <c r="M44" s="6"/>
      <c r="N44" s="160"/>
      <c r="O44" s="5"/>
      <c r="P44" s="5"/>
      <c r="Q44" s="5"/>
    </row>
    <row r="45" spans="1:17" ht="18.75" customHeight="1">
      <c r="A45" s="33"/>
      <c r="B45" s="8"/>
      <c r="C45" s="8"/>
      <c r="D45" s="8"/>
      <c r="E45" s="33"/>
      <c r="F45" s="50"/>
      <c r="G45" s="8"/>
      <c r="H45" s="6"/>
      <c r="I45" s="32"/>
      <c r="J45" s="34"/>
      <c r="K45" s="6"/>
      <c r="L45" s="6"/>
      <c r="M45" s="6"/>
      <c r="N45" s="160"/>
      <c r="O45" s="5"/>
      <c r="P45" s="5"/>
      <c r="Q45" s="5"/>
    </row>
    <row r="46" spans="1:17" ht="18.75" customHeight="1">
      <c r="A46" s="33"/>
      <c r="B46" s="8"/>
      <c r="C46" s="8"/>
      <c r="D46" s="8"/>
      <c r="E46" s="33"/>
      <c r="F46" s="50"/>
      <c r="G46" s="8"/>
      <c r="H46" s="6"/>
      <c r="I46" s="32"/>
      <c r="J46" s="34"/>
      <c r="K46" s="6"/>
      <c r="L46" s="6"/>
      <c r="M46" s="6"/>
      <c r="N46" s="160"/>
      <c r="O46" s="5"/>
      <c r="P46" s="5"/>
      <c r="Q46" s="5"/>
    </row>
    <row r="47" spans="1:17" ht="18.75" customHeight="1">
      <c r="A47" s="33"/>
      <c r="B47" s="8"/>
      <c r="C47" s="8"/>
      <c r="D47" s="199"/>
      <c r="E47" s="33"/>
      <c r="F47" s="50"/>
      <c r="G47" s="8"/>
      <c r="H47" s="6"/>
      <c r="I47" s="32"/>
      <c r="J47" s="34"/>
      <c r="K47" s="6"/>
      <c r="L47" s="6"/>
      <c r="M47" s="6"/>
      <c r="N47" s="160"/>
      <c r="O47" s="5"/>
      <c r="P47" s="5"/>
      <c r="Q47" s="5"/>
    </row>
    <row r="48" spans="1:17" ht="18.75" customHeight="1">
      <c r="A48" s="33"/>
      <c r="B48" s="8"/>
      <c r="C48" s="8"/>
      <c r="D48" s="8"/>
      <c r="E48" s="33"/>
      <c r="F48" s="50"/>
      <c r="G48" s="8"/>
      <c r="H48" s="6"/>
      <c r="I48" s="32"/>
      <c r="J48" s="34"/>
      <c r="K48" s="6"/>
      <c r="L48" s="6"/>
      <c r="M48" s="6"/>
      <c r="N48" s="160"/>
      <c r="O48" s="5"/>
      <c r="P48" s="5"/>
      <c r="Q48" s="5"/>
    </row>
    <row r="49" spans="1:17" ht="15" customHeight="1">
      <c r="A49" s="112"/>
      <c r="B49" s="112"/>
      <c r="C49" s="112"/>
      <c r="D49" s="112"/>
      <c r="E49" s="112"/>
      <c r="F49" s="6"/>
      <c r="G49" s="113"/>
      <c r="H49" s="135"/>
      <c r="I49" s="135"/>
      <c r="J49" s="135"/>
      <c r="K49" s="135"/>
      <c r="L49" s="6"/>
      <c r="M49" s="6"/>
      <c r="N49" s="5"/>
      <c r="O49" s="5"/>
      <c r="P49" s="5"/>
      <c r="Q49" s="5"/>
    </row>
    <row r="50" spans="1:17" ht="15" customHeight="1">
      <c r="A50" s="112"/>
      <c r="B50" s="112"/>
      <c r="C50" s="112"/>
      <c r="D50" s="112"/>
      <c r="E50" s="112"/>
      <c r="F50" s="6"/>
      <c r="G50" s="113"/>
      <c r="H50" s="135"/>
      <c r="I50" s="135"/>
      <c r="J50" s="135"/>
      <c r="K50" s="135"/>
      <c r="L50" s="8"/>
      <c r="M50" s="5"/>
      <c r="N50" s="5"/>
      <c r="O50" s="5"/>
      <c r="P50" s="5"/>
      <c r="Q50" s="5"/>
    </row>
    <row r="51" spans="1:17" ht="18.75" customHeight="1">
      <c r="A51" s="112"/>
      <c r="B51" s="112"/>
      <c r="C51" s="112"/>
      <c r="D51" s="112"/>
      <c r="E51" s="112"/>
      <c r="F51" s="6"/>
      <c r="G51" s="113"/>
      <c r="H51" s="136"/>
      <c r="I51" s="136"/>
      <c r="J51" s="136"/>
      <c r="K51" s="136"/>
      <c r="L51" s="8"/>
      <c r="M51" s="5"/>
      <c r="N51" s="5"/>
      <c r="O51" s="5"/>
      <c r="P51" s="5"/>
      <c r="Q51" s="5"/>
    </row>
    <row r="52" spans="1:17" ht="18.75" customHeight="1">
      <c r="A52" s="112"/>
      <c r="B52" s="112"/>
      <c r="C52" s="112"/>
      <c r="D52" s="112"/>
      <c r="E52" s="112"/>
      <c r="F52" s="6"/>
      <c r="G52" s="6"/>
      <c r="H52" s="135"/>
      <c r="I52" s="135"/>
      <c r="J52" s="135"/>
      <c r="K52" s="135"/>
      <c r="L52" s="8"/>
      <c r="M52" s="5"/>
      <c r="N52" s="5"/>
      <c r="O52" s="5"/>
      <c r="P52" s="5"/>
      <c r="Q52" s="5"/>
    </row>
    <row r="53" spans="1:17" ht="18.75" customHeight="1">
      <c r="A53" s="137"/>
      <c r="B53" s="137"/>
      <c r="C53" s="137"/>
      <c r="D53" s="137"/>
      <c r="E53" s="137"/>
      <c r="F53" s="6"/>
      <c r="G53" s="6"/>
      <c r="H53" s="135"/>
      <c r="I53" s="135"/>
      <c r="J53" s="135"/>
      <c r="K53" s="135"/>
      <c r="L53" s="8"/>
      <c r="M53" s="5"/>
      <c r="N53" s="5"/>
      <c r="O53" s="5"/>
      <c r="P53" s="5"/>
      <c r="Q53" s="5"/>
    </row>
    <row r="54" spans="1:17" ht="18.75" customHeight="1">
      <c r="A54" s="137"/>
      <c r="B54" s="137"/>
      <c r="C54" s="137"/>
      <c r="D54" s="137"/>
      <c r="E54" s="137"/>
      <c r="F54" s="6"/>
      <c r="G54" s="6"/>
      <c r="H54" s="135"/>
      <c r="I54" s="135"/>
      <c r="J54" s="135"/>
      <c r="K54" s="135"/>
      <c r="L54" s="8"/>
      <c r="M54" s="5"/>
      <c r="N54" s="5"/>
      <c r="O54" s="5"/>
      <c r="P54" s="5"/>
      <c r="Q54" s="5"/>
    </row>
    <row r="55" spans="1:17" ht="18.75" customHeight="1">
      <c r="A55" s="137"/>
      <c r="B55" s="137"/>
      <c r="C55" s="137"/>
      <c r="D55" s="137"/>
      <c r="E55" s="137"/>
      <c r="F55" s="6"/>
      <c r="G55" s="6"/>
      <c r="H55" s="135"/>
      <c r="I55" s="135"/>
      <c r="J55" s="135"/>
      <c r="K55" s="135"/>
      <c r="L55" s="8"/>
      <c r="M55" s="5"/>
      <c r="N55" s="5"/>
      <c r="O55" s="5"/>
      <c r="P55" s="5"/>
      <c r="Q55" s="5"/>
    </row>
    <row r="56" spans="1:17" ht="18.75" customHeight="1">
      <c r="A56" s="137"/>
      <c r="B56" s="137"/>
      <c r="C56" s="137"/>
      <c r="D56" s="137"/>
      <c r="E56" s="137"/>
      <c r="F56" s="6"/>
      <c r="G56" s="6"/>
      <c r="H56" s="135"/>
      <c r="I56" s="135"/>
      <c r="J56" s="135"/>
      <c r="K56" s="135"/>
      <c r="L56" s="8"/>
      <c r="M56" s="5"/>
      <c r="N56" s="5"/>
      <c r="O56" s="5"/>
      <c r="P56" s="5"/>
      <c r="Q56" s="5"/>
    </row>
    <row r="57" spans="1:17" ht="18.75" customHeight="1">
      <c r="A57" s="137"/>
      <c r="B57" s="137"/>
      <c r="C57" s="137"/>
      <c r="D57" s="137"/>
      <c r="E57" s="137"/>
      <c r="F57" s="6"/>
      <c r="G57" s="6"/>
      <c r="H57" s="135"/>
      <c r="I57" s="135"/>
      <c r="J57" s="135"/>
      <c r="K57" s="135"/>
      <c r="L57" s="8"/>
      <c r="M57" s="5"/>
      <c r="N57" s="5"/>
      <c r="O57" s="5"/>
      <c r="P57" s="5"/>
      <c r="Q57" s="5"/>
    </row>
    <row r="58" spans="1:17" ht="18.75" customHeight="1">
      <c r="A58" s="137"/>
      <c r="B58" s="137"/>
      <c r="C58" s="137"/>
      <c r="D58" s="137"/>
      <c r="E58" s="137"/>
      <c r="F58" s="6"/>
      <c r="G58" s="6"/>
      <c r="H58" s="135"/>
      <c r="I58" s="135"/>
      <c r="J58" s="135"/>
      <c r="K58" s="135"/>
      <c r="L58" s="8"/>
      <c r="M58" s="5"/>
      <c r="N58" s="5"/>
      <c r="O58" s="5"/>
      <c r="P58" s="5"/>
      <c r="Q58" s="5"/>
    </row>
    <row r="59" spans="1:17" ht="18.75" customHeight="1">
      <c r="A59" s="137"/>
      <c r="B59" s="137"/>
      <c r="C59" s="137"/>
      <c r="D59" s="137"/>
      <c r="E59" s="137"/>
      <c r="F59" s="6"/>
      <c r="G59" s="6"/>
      <c r="H59" s="135"/>
      <c r="I59" s="135"/>
      <c r="J59" s="135"/>
      <c r="K59" s="135"/>
      <c r="L59" s="8"/>
      <c r="M59" s="5"/>
      <c r="N59" s="5"/>
      <c r="O59" s="5"/>
      <c r="P59" s="5"/>
      <c r="Q59" s="5"/>
    </row>
    <row r="60" spans="1:17">
      <c r="A60" s="137"/>
      <c r="B60" s="137"/>
      <c r="C60" s="112"/>
      <c r="D60" s="112"/>
      <c r="E60" s="112"/>
      <c r="F60" s="103"/>
      <c r="G60" s="103"/>
      <c r="H60" s="136"/>
      <c r="I60" s="136"/>
      <c r="J60" s="136"/>
      <c r="K60" s="136"/>
      <c r="L60" s="8"/>
      <c r="M60" s="5"/>
      <c r="N60" s="5"/>
      <c r="O60" s="5"/>
      <c r="P60" s="5"/>
      <c r="Q60" s="5"/>
    </row>
    <row r="61" spans="1:17">
      <c r="A61" s="137"/>
      <c r="B61" s="137"/>
      <c r="C61" s="112"/>
      <c r="D61" s="112"/>
      <c r="E61" s="112"/>
      <c r="F61" s="103"/>
      <c r="G61" s="103"/>
      <c r="H61" s="136"/>
      <c r="I61" s="136"/>
      <c r="J61" s="136"/>
      <c r="K61" s="136"/>
      <c r="L61" s="8"/>
      <c r="M61" s="5"/>
      <c r="N61" s="5"/>
      <c r="O61" s="5"/>
      <c r="P61" s="5"/>
      <c r="Q61" s="5"/>
    </row>
    <row r="62" spans="1:17">
      <c r="A62" s="315"/>
      <c r="B62" s="315"/>
      <c r="C62" s="314"/>
      <c r="D62" s="314"/>
      <c r="E62" s="314"/>
      <c r="F62" s="103"/>
      <c r="G62" s="103"/>
      <c r="H62" s="136"/>
      <c r="I62" s="136"/>
      <c r="J62" s="136"/>
      <c r="K62" s="136"/>
      <c r="L62" s="8"/>
      <c r="M62" s="5"/>
      <c r="N62" s="5"/>
      <c r="O62" s="5"/>
      <c r="P62" s="5"/>
      <c r="Q62" s="5"/>
    </row>
    <row r="63" spans="1:17">
      <c r="L63" s="8"/>
      <c r="M63" s="5"/>
      <c r="N63" s="5"/>
      <c r="O63" s="5"/>
      <c r="P63" s="5"/>
      <c r="Q63" s="5"/>
    </row>
    <row r="64" spans="1:17">
      <c r="F64" s="126"/>
      <c r="L64" s="5"/>
      <c r="M64" s="5"/>
      <c r="N64" s="5"/>
      <c r="O64" s="5"/>
      <c r="P64" s="5"/>
      <c r="Q64" s="5"/>
    </row>
    <row r="65" spans="12:17">
      <c r="L65" s="5"/>
      <c r="M65" s="5"/>
      <c r="N65" s="5"/>
      <c r="O65" s="5"/>
      <c r="P65" s="5"/>
      <c r="Q65" s="5"/>
    </row>
    <row r="66" spans="12:17">
      <c r="L66" s="5"/>
      <c r="M66" s="5"/>
      <c r="N66" s="5"/>
      <c r="O66" s="5"/>
      <c r="P66" s="5"/>
      <c r="Q66" s="5"/>
    </row>
    <row r="67" spans="12:17" hidden="1">
      <c r="L67" s="5"/>
      <c r="M67" s="5"/>
      <c r="N67" s="5"/>
      <c r="O67" s="5"/>
      <c r="P67" s="5"/>
      <c r="Q67" s="5"/>
    </row>
    <row r="68" spans="12:17" hidden="1">
      <c r="L68" s="5"/>
      <c r="M68" s="5"/>
      <c r="N68" s="5"/>
      <c r="O68" s="5"/>
      <c r="P68" s="5"/>
      <c r="Q68" s="5"/>
    </row>
    <row r="69" spans="12:17" ht="18.75" hidden="1" customHeight="1">
      <c r="L69" s="5"/>
      <c r="M69" s="5"/>
      <c r="N69" s="5"/>
      <c r="O69" s="5"/>
      <c r="P69" s="5"/>
      <c r="Q69" s="5"/>
    </row>
    <row r="70" spans="12:17" ht="14.25" hidden="1" customHeight="1">
      <c r="L70" s="5"/>
      <c r="M70" s="5"/>
      <c r="N70" s="5"/>
      <c r="O70" s="5"/>
      <c r="P70" s="5"/>
      <c r="Q70" s="5"/>
    </row>
    <row r="71" spans="12:17" ht="14.25" hidden="1" customHeight="1">
      <c r="L71" s="5"/>
      <c r="M71" s="5"/>
      <c r="N71" s="5"/>
      <c r="O71" s="5"/>
      <c r="P71" s="5"/>
      <c r="Q71" s="5"/>
    </row>
    <row r="72" spans="12:17" ht="14.25" hidden="1" customHeight="1">
      <c r="L72" s="5"/>
      <c r="M72" s="5"/>
      <c r="N72" s="5"/>
      <c r="O72" s="5"/>
      <c r="P72" s="5"/>
      <c r="Q72" s="5"/>
    </row>
    <row r="73" spans="12:17" ht="14.25" hidden="1" customHeight="1">
      <c r="L73" s="5"/>
      <c r="M73" s="5"/>
      <c r="N73" s="5"/>
      <c r="O73" s="5"/>
      <c r="P73" s="5"/>
      <c r="Q73" s="5"/>
    </row>
    <row r="74" spans="12:17" ht="14.25" hidden="1" customHeight="1">
      <c r="L74" s="5"/>
      <c r="M74" s="5"/>
      <c r="N74" s="5"/>
      <c r="O74" s="5"/>
      <c r="P74" s="5"/>
      <c r="Q74" s="5"/>
    </row>
    <row r="75" spans="12:17" ht="14.25" hidden="1" customHeight="1">
      <c r="L75" s="5"/>
      <c r="M75" s="5"/>
      <c r="N75" s="5"/>
      <c r="O75" s="5"/>
      <c r="P75" s="5"/>
      <c r="Q75" s="5"/>
    </row>
    <row r="76" spans="12:17" ht="14.25" hidden="1" customHeight="1">
      <c r="L76" s="5"/>
      <c r="M76" s="5"/>
      <c r="N76" s="5"/>
      <c r="O76" s="5"/>
      <c r="P76" s="5"/>
      <c r="Q76" s="5"/>
    </row>
    <row r="77" spans="12:17" ht="14.25" hidden="1" customHeight="1">
      <c r="L77" s="5"/>
      <c r="M77" s="5"/>
      <c r="N77" s="5"/>
      <c r="O77" s="5"/>
      <c r="P77" s="5"/>
      <c r="Q77" s="5"/>
    </row>
    <row r="78" spans="12:17" ht="14.25" hidden="1" customHeight="1">
      <c r="L78" s="5"/>
      <c r="M78" s="5"/>
      <c r="N78" s="158" t="s">
        <v>123</v>
      </c>
      <c r="O78" s="5"/>
      <c r="P78" s="5"/>
      <c r="Q78" s="5"/>
    </row>
    <row r="79" spans="12:17" ht="14.25" hidden="1" customHeight="1">
      <c r="L79" s="5"/>
      <c r="M79" s="5"/>
      <c r="N79" s="158" t="s">
        <v>122</v>
      </c>
      <c r="O79" s="5"/>
      <c r="P79" s="5"/>
      <c r="Q79" s="5"/>
    </row>
    <row r="80" spans="12:17" ht="14.25" hidden="1" customHeight="1">
      <c r="L80" s="5"/>
      <c r="M80" s="5"/>
      <c r="N80" s="158" t="s">
        <v>105</v>
      </c>
      <c r="O80" s="5"/>
      <c r="P80" s="5"/>
      <c r="Q80" s="5"/>
    </row>
    <row r="81" spans="12:20" ht="14.25" hidden="1" customHeight="1">
      <c r="L81" s="5"/>
      <c r="M81" s="5"/>
      <c r="N81" s="158" t="s">
        <v>106</v>
      </c>
      <c r="O81" s="5"/>
      <c r="P81" s="5"/>
      <c r="Q81" s="5"/>
    </row>
    <row r="82" spans="12:20" ht="14.25" hidden="1" customHeight="1">
      <c r="L82" s="5"/>
      <c r="M82" s="5"/>
      <c r="N82" s="158" t="s">
        <v>107</v>
      </c>
      <c r="O82" s="5"/>
      <c r="P82" s="5"/>
      <c r="Q82" s="5"/>
    </row>
    <row r="83" spans="12:20" ht="18.75" hidden="1" customHeight="1">
      <c r="L83" s="5"/>
      <c r="M83" s="5"/>
      <c r="N83" s="158" t="s">
        <v>108</v>
      </c>
      <c r="O83" s="5"/>
      <c r="P83" s="5"/>
      <c r="Q83" s="5"/>
    </row>
    <row r="84" spans="12:20" ht="18.75" hidden="1" customHeight="1">
      <c r="L84" s="5"/>
      <c r="M84" s="5"/>
      <c r="N84" s="5"/>
      <c r="O84" s="5"/>
      <c r="P84" s="5"/>
      <c r="Q84" s="5"/>
    </row>
    <row r="85" spans="12:20" ht="18.75" hidden="1" customHeight="1">
      <c r="L85" s="5"/>
      <c r="M85" s="5"/>
      <c r="N85" s="5"/>
      <c r="O85" s="5"/>
      <c r="P85" s="5"/>
      <c r="Q85" s="5"/>
    </row>
    <row r="86" spans="12:20" ht="18.75" hidden="1" customHeight="1">
      <c r="L86" s="5"/>
      <c r="M86" s="5"/>
      <c r="N86" s="5"/>
      <c r="O86" s="5"/>
      <c r="P86" s="5"/>
      <c r="Q86" s="5"/>
    </row>
    <row r="87" spans="12:20" ht="18.75" hidden="1" customHeight="1">
      <c r="L87" s="5"/>
      <c r="M87" s="5"/>
      <c r="N87" s="5"/>
      <c r="O87" s="5"/>
      <c r="P87" s="5"/>
      <c r="Q87" s="5"/>
    </row>
    <row r="88" spans="12:20" ht="18.75" hidden="1" customHeight="1">
      <c r="L88" s="5"/>
      <c r="M88" s="5"/>
      <c r="N88" s="158"/>
      <c r="O88" s="5"/>
      <c r="P88" s="5"/>
      <c r="Q88" s="5"/>
    </row>
    <row r="89" spans="12:20" ht="18.75" hidden="1" customHeight="1">
      <c r="L89" s="5"/>
      <c r="M89" s="5"/>
      <c r="N89" s="158"/>
      <c r="O89" s="5"/>
      <c r="P89" s="5"/>
      <c r="Q89" s="5"/>
    </row>
    <row r="90" spans="12:20" ht="18.75" hidden="1" customHeight="1">
      <c r="L90" s="5"/>
      <c r="M90" s="5"/>
      <c r="N90" s="158"/>
      <c r="O90" s="5"/>
      <c r="P90" s="5"/>
      <c r="Q90" s="5"/>
    </row>
    <row r="91" spans="12:20" ht="18.75" hidden="1" customHeight="1">
      <c r="L91" s="122"/>
      <c r="M91" s="122"/>
      <c r="O91" s="115"/>
      <c r="R91" s="2"/>
      <c r="S91" s="103"/>
      <c r="T91" s="2"/>
    </row>
    <row r="92" spans="12:20" ht="18.75" hidden="1" customHeight="1">
      <c r="L92" s="110"/>
      <c r="R92" s="2"/>
      <c r="S92" s="103"/>
      <c r="T92" s="2"/>
    </row>
    <row r="93" spans="12:20" ht="18.75" hidden="1" customHeight="1">
      <c r="L93" s="110"/>
      <c r="R93" s="2"/>
      <c r="S93" s="103"/>
      <c r="T93" s="2"/>
    </row>
    <row r="94" spans="12:20" ht="18.75" hidden="1" customHeight="1">
      <c r="L94" s="110"/>
      <c r="N94" s="144"/>
      <c r="R94" s="2"/>
      <c r="S94" s="103"/>
      <c r="T94" s="2"/>
    </row>
    <row r="95" spans="12:20" ht="18.75" hidden="1" customHeight="1">
      <c r="L95" s="110"/>
      <c r="R95" s="2"/>
      <c r="S95" s="103"/>
      <c r="T95" s="2"/>
    </row>
    <row r="96" spans="12:20" ht="18.75" hidden="1" customHeight="1">
      <c r="L96" s="110"/>
      <c r="R96" s="2"/>
      <c r="S96" s="103"/>
      <c r="T96" s="2"/>
    </row>
    <row r="97" spans="12:22" ht="18.75" hidden="1" customHeight="1">
      <c r="L97" s="110"/>
      <c r="R97" s="2"/>
      <c r="S97" s="103"/>
      <c r="T97" s="2"/>
    </row>
    <row r="98" spans="12:22" ht="18.75" hidden="1" customHeight="1">
      <c r="L98" s="110"/>
      <c r="R98" s="2"/>
      <c r="S98" s="103"/>
      <c r="T98" s="2"/>
    </row>
    <row r="99" spans="12:22" ht="18.75" hidden="1" customHeight="1">
      <c r="L99" s="110"/>
      <c r="N99" s="158" t="s">
        <v>124</v>
      </c>
      <c r="O99" s="158"/>
      <c r="R99" s="2"/>
      <c r="S99" s="103"/>
      <c r="T99" s="2"/>
    </row>
    <row r="100" spans="12:22" ht="18.75" hidden="1" customHeight="1">
      <c r="L100" s="110"/>
      <c r="N100" s="158" t="s">
        <v>125</v>
      </c>
      <c r="O100" s="158"/>
      <c r="P100" s="8"/>
      <c r="R100" s="2"/>
      <c r="S100" s="103"/>
      <c r="T100" s="2"/>
    </row>
    <row r="101" spans="12:22" ht="18.75" hidden="1" customHeight="1">
      <c r="L101" s="110"/>
      <c r="N101" s="158" t="s">
        <v>126</v>
      </c>
      <c r="O101" s="2"/>
      <c r="P101" s="8"/>
      <c r="R101" s="2"/>
      <c r="S101" s="103"/>
      <c r="T101" s="2"/>
    </row>
    <row r="102" spans="12:22" ht="18.75" hidden="1" customHeight="1">
      <c r="L102" s="5"/>
      <c r="N102" s="158" t="s">
        <v>127</v>
      </c>
      <c r="O102" s="2"/>
      <c r="P102" s="8"/>
      <c r="R102" s="2"/>
      <c r="S102" s="103"/>
      <c r="T102" s="2"/>
    </row>
    <row r="103" spans="12:22" ht="18.75" hidden="1" customHeight="1">
      <c r="L103" s="5"/>
      <c r="N103" s="158" t="s">
        <v>128</v>
      </c>
      <c r="O103" s="2"/>
      <c r="Q103" s="158"/>
      <c r="S103" s="2"/>
      <c r="T103" s="2"/>
      <c r="U103" s="2"/>
      <c r="V103" s="2"/>
    </row>
    <row r="104" spans="12:22" ht="18.75" hidden="1" customHeight="1">
      <c r="L104" s="5"/>
      <c r="O104" s="2"/>
      <c r="P104" s="176"/>
    </row>
    <row r="105" spans="12:22" ht="18.75" hidden="1" customHeight="1">
      <c r="L105" s="147"/>
      <c r="N105" s="158" t="s">
        <v>129</v>
      </c>
      <c r="O105" s="2"/>
      <c r="P105" s="2"/>
      <c r="R105" s="2"/>
      <c r="S105" s="103"/>
      <c r="T105" s="2"/>
      <c r="U105" s="2"/>
    </row>
    <row r="106" spans="12:22" ht="18.75" hidden="1" customHeight="1">
      <c r="L106" s="110"/>
      <c r="N106" s="158" t="s">
        <v>130</v>
      </c>
      <c r="O106" s="2"/>
      <c r="P106" s="2"/>
      <c r="R106" s="2"/>
      <c r="S106" s="103"/>
      <c r="T106" s="2"/>
      <c r="U106" s="2"/>
    </row>
    <row r="107" spans="12:22" ht="18.75" hidden="1" customHeight="1">
      <c r="L107" s="5"/>
      <c r="M107" s="5"/>
      <c r="N107" s="158" t="s">
        <v>138</v>
      </c>
      <c r="O107" s="112"/>
      <c r="P107" s="103"/>
      <c r="Q107" s="103"/>
      <c r="R107" s="112"/>
      <c r="S107" s="2"/>
      <c r="T107" s="2"/>
      <c r="U107" s="2"/>
    </row>
    <row r="108" spans="12:22" ht="18.75" hidden="1" customHeight="1">
      <c r="L108" s="5"/>
      <c r="M108" s="5"/>
      <c r="N108" s="175" t="s">
        <v>139</v>
      </c>
      <c r="O108" s="112"/>
      <c r="P108" s="2"/>
      <c r="Q108" s="2"/>
      <c r="R108" s="2"/>
      <c r="S108" s="2"/>
      <c r="T108" s="2"/>
      <c r="U108" s="2"/>
    </row>
    <row r="109" spans="12:22" ht="18.75" hidden="1" customHeight="1">
      <c r="L109" s="5"/>
      <c r="N109" s="158" t="s">
        <v>140</v>
      </c>
      <c r="O109" s="5"/>
    </row>
    <row r="110" spans="12:22" ht="18.75" hidden="1" customHeight="1">
      <c r="L110" s="5"/>
      <c r="N110" s="158" t="s">
        <v>109</v>
      </c>
      <c r="O110" s="5"/>
    </row>
    <row r="111" spans="12:22" ht="18.75" hidden="1" customHeight="1">
      <c r="L111" s="5"/>
      <c r="N111" s="158" t="s">
        <v>131</v>
      </c>
      <c r="O111" s="5"/>
    </row>
    <row r="112" spans="12:22" ht="18.75" hidden="1" customHeight="1">
      <c r="L112" s="5"/>
      <c r="N112" s="158" t="s">
        <v>135</v>
      </c>
      <c r="O112" s="5"/>
    </row>
    <row r="113" spans="12:23" ht="18.75" hidden="1" customHeight="1">
      <c r="L113" s="5"/>
      <c r="N113" s="158" t="s">
        <v>136</v>
      </c>
      <c r="O113" s="5"/>
    </row>
    <row r="114" spans="12:23" ht="18.75" hidden="1" customHeight="1">
      <c r="L114" s="5"/>
      <c r="N114" s="158" t="s">
        <v>137</v>
      </c>
      <c r="O114" s="5"/>
      <c r="W114" s="2"/>
    </row>
    <row r="115" spans="12:23" ht="18.75" hidden="1" customHeight="1">
      <c r="L115" s="5"/>
      <c r="N115" s="158" t="s">
        <v>132</v>
      </c>
      <c r="O115" s="5"/>
    </row>
    <row r="116" spans="12:23" ht="18.75" hidden="1" customHeight="1">
      <c r="L116" s="5"/>
      <c r="M116" s="8"/>
      <c r="N116" s="158" t="s">
        <v>133</v>
      </c>
      <c r="O116" s="8"/>
      <c r="P116" s="8"/>
      <c r="Q116" s="8"/>
    </row>
    <row r="117" spans="12:23" ht="18.75" hidden="1" customHeight="1">
      <c r="L117" s="5"/>
      <c r="M117" s="8"/>
      <c r="N117" s="158" t="s">
        <v>134</v>
      </c>
      <c r="O117" s="8"/>
      <c r="P117" s="8"/>
      <c r="Q117" s="8"/>
    </row>
    <row r="118" spans="12:23" ht="18.75" hidden="1" customHeight="1">
      <c r="M118" s="23"/>
      <c r="N118" s="6"/>
      <c r="O118" s="6"/>
      <c r="P118" s="2"/>
      <c r="Q118" s="2"/>
    </row>
    <row r="119" spans="12:23" ht="18.75" hidden="1" customHeight="1">
      <c r="M119" s="2"/>
      <c r="N119" s="2"/>
      <c r="O119" s="2"/>
      <c r="P119" s="2"/>
      <c r="Q119" s="2"/>
    </row>
    <row r="120" spans="12:23" ht="18.75" hidden="1" customHeight="1">
      <c r="M120" s="2"/>
      <c r="N120" s="2"/>
      <c r="O120" s="2"/>
      <c r="P120" s="2"/>
      <c r="Q120" s="2"/>
    </row>
    <row r="121" spans="12:23" ht="18.75" hidden="1" customHeight="1">
      <c r="M121" s="2"/>
      <c r="N121" s="2"/>
      <c r="O121" s="2"/>
      <c r="P121" s="2"/>
      <c r="Q121" s="2"/>
    </row>
    <row r="122" spans="12:23" ht="18.75" hidden="1" customHeight="1">
      <c r="M122" s="2"/>
      <c r="N122" s="2"/>
      <c r="O122" s="2"/>
      <c r="P122" s="2"/>
      <c r="Q122" s="2"/>
    </row>
    <row r="123" spans="12:23" ht="18.75" hidden="1" customHeight="1"/>
    <row r="124" spans="12:23" ht="18.75" hidden="1" customHeight="1"/>
    <row r="125" spans="12:23" ht="18.75" hidden="1" customHeight="1"/>
    <row r="126" spans="12:23" ht="18.75" hidden="1" customHeight="1"/>
    <row r="127" spans="12:23" ht="18.75" hidden="1" customHeight="1"/>
    <row r="128" spans="12:23" ht="18.75" hidden="1" customHeight="1"/>
    <row r="129" spans="12:16" ht="18.75" hidden="1" customHeight="1"/>
    <row r="130" spans="12:16" ht="18.75" hidden="1" customHeight="1"/>
    <row r="131" spans="12:16" ht="18.75" hidden="1" customHeight="1"/>
    <row r="132" spans="12:16" ht="18.75" hidden="1" customHeight="1"/>
    <row r="133" spans="12:16" ht="18.75" hidden="1" customHeight="1"/>
    <row r="134" spans="12:16" ht="18.75" hidden="1" customHeight="1" thickBot="1"/>
    <row r="135" spans="12:16" hidden="1"/>
    <row r="136" spans="12:16" hidden="1"/>
    <row r="141" spans="12:16">
      <c r="L141" s="120"/>
    </row>
    <row r="143" spans="12:16">
      <c r="P143" s="119"/>
    </row>
    <row r="144" spans="12:16">
      <c r="P144" s="119"/>
    </row>
  </sheetData>
  <mergeCells count="9">
    <mergeCell ref="C62:E62"/>
    <mergeCell ref="A62:B62"/>
    <mergeCell ref="A14:B14"/>
    <mergeCell ref="F13:I14"/>
    <mergeCell ref="J4:L4"/>
    <mergeCell ref="J9:L9"/>
    <mergeCell ref="J5:L5"/>
    <mergeCell ref="J7:L7"/>
    <mergeCell ref="J6:L6"/>
  </mergeCells>
  <phoneticPr fontId="49" type="noConversion"/>
  <conditionalFormatting sqref="F15:F16">
    <cfRule type="cellIs" dxfId="17" priority="54" operator="equal">
      <formula>"Invloed afrondingsstralen mag worden genegeerd"</formula>
    </cfRule>
    <cfRule type="cellIs" dxfId="16" priority="55" operator="equal">
      <formula>"Invloed afrondingsstralen mag niet worden genegeerd"</formula>
    </cfRule>
  </conditionalFormatting>
  <conditionalFormatting sqref="F13">
    <cfRule type="cellIs" dxfId="15" priority="40" operator="equal">
      <formula>"Invloed afrondingsstralen mag worden genegeerd"</formula>
    </cfRule>
  </conditionalFormatting>
  <conditionalFormatting sqref="F13:I14">
    <cfRule type="cellIs" dxfId="14" priority="15" stopIfTrue="1" operator="equal">
      <formula>"Invl. Afrondingsstralen mag worden genegeerd"</formula>
    </cfRule>
    <cfRule type="cellIs" dxfId="13" priority="16" stopIfTrue="1" operator="equal">
      <formula>"Invl. Afrondingsstralen mag niet worden genegeerd"</formula>
    </cfRule>
  </conditionalFormatting>
  <conditionalFormatting sqref="J4:L4">
    <cfRule type="cellIs" dxfId="12" priority="13" stopIfTrue="1" operator="equal">
      <formula>"Hoogte is kleiner dan 2x de dikte"</formula>
    </cfRule>
    <cfRule type="cellIs" dxfId="11" priority="14" stopIfTrue="1" operator="equal">
      <formula>"Hoogte is ten minste gelijk aan 2x de dikte"</formula>
    </cfRule>
  </conditionalFormatting>
  <conditionalFormatting sqref="J5:L5">
    <cfRule type="cellIs" dxfId="10" priority="11" stopIfTrue="1" operator="equal">
      <formula>"Breedte is kleiner dan 2x de dikte"</formula>
    </cfRule>
    <cfRule type="cellIs" dxfId="9" priority="12" stopIfTrue="1" operator="equal">
      <formula>"Breedte is ten minste gelijk aan 2x de dikte"</formula>
    </cfRule>
  </conditionalFormatting>
  <conditionalFormatting sqref="J6:L6">
    <cfRule type="cellIs" dxfId="8" priority="9" stopIfTrue="1" operator="equal">
      <formula>"Lip is groter dan de halve profielhoogte"</formula>
    </cfRule>
    <cfRule type="cellIs" dxfId="7" priority="10" stopIfTrue="1" operator="equal">
      <formula>"Lip is kleiner of gelijk aan halve profielhoogte"</formula>
    </cfRule>
  </conditionalFormatting>
  <conditionalFormatting sqref="J7:L7">
    <cfRule type="cellIs" dxfId="6" priority="7" stopIfTrue="1" operator="equal">
      <formula>"Enkele effectieve profielmaten zijn negatief"</formula>
    </cfRule>
    <cfRule type="cellIs" dxfId="5" priority="8" stopIfTrue="1" operator="equal">
      <formula>"Alle effectieve profielmaten zijn positief"</formula>
    </cfRule>
  </conditionalFormatting>
  <conditionalFormatting sqref="J9:L9">
    <cfRule type="cellIs" dxfId="4" priority="5" stopIfTrue="1" operator="equal">
      <formula>"Profiel fysisch niet mogelijk"</formula>
    </cfRule>
    <cfRule type="cellIs" dxfId="3" priority="6" stopIfTrue="1" operator="equal">
      <formula>"Profiel fysisch mogelijk"</formula>
    </cfRule>
  </conditionalFormatting>
  <pageMargins left="0.15748031496062992" right="0.15748031496062992" top="0.15748031496062992" bottom="0.15748031496062992" header="0.31496062992125984" footer="0.31496062992125984"/>
  <pageSetup paperSize="9" scale="49" orientation="landscape" r:id="rId1"/>
  <rowBreaks count="1" manualBreakCount="1">
    <brk id="3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34"/>
  <sheetViews>
    <sheetView topLeftCell="A63" zoomScaleNormal="100" workbookViewId="0">
      <selection activeCell="H83" sqref="H83"/>
    </sheetView>
  </sheetViews>
  <sheetFormatPr defaultRowHeight="15"/>
  <cols>
    <col min="2" max="2" width="10.42578125" customWidth="1"/>
    <col min="3" max="3" width="8.7109375" customWidth="1"/>
    <col min="5" max="5" width="11.140625" customWidth="1"/>
    <col min="6" max="6" width="13.28515625" customWidth="1"/>
    <col min="7" max="7" width="9.5703125" customWidth="1"/>
    <col min="8" max="8" width="12.140625" customWidth="1"/>
    <col min="9" max="9" width="11.5703125" customWidth="1"/>
    <col min="10" max="10" width="11.85546875" customWidth="1"/>
    <col min="11" max="11" width="12.42578125" customWidth="1"/>
    <col min="12" max="12" width="23.42578125" customWidth="1"/>
    <col min="13" max="13" width="10.28515625" customWidth="1"/>
    <col min="14" max="14" width="10.71093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6.25" customHeight="1">
      <c r="A1" s="224" t="s">
        <v>290</v>
      </c>
      <c r="B1" s="237"/>
      <c r="C1" s="237"/>
      <c r="D1" s="237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8.75" hidden="1" customHeight="1" thickBot="1">
      <c r="A3" s="46" t="s">
        <v>12</v>
      </c>
      <c r="B3" s="47"/>
      <c r="C3" s="45"/>
      <c r="D3" s="45"/>
      <c r="F3" s="48" t="s">
        <v>7</v>
      </c>
      <c r="G3" s="44"/>
      <c r="H3" s="45"/>
      <c r="I3" s="5"/>
      <c r="J3" s="5"/>
      <c r="K3" s="5"/>
      <c r="L3" s="5"/>
      <c r="M3" s="5"/>
      <c r="N3" s="5"/>
      <c r="O3" s="5"/>
      <c r="P3" s="5"/>
      <c r="Q3" s="5"/>
    </row>
    <row r="4" spans="1:17" ht="18.75" hidden="1" customHeight="1">
      <c r="A4" s="82" t="s">
        <v>13</v>
      </c>
      <c r="B4" s="62">
        <f>'Input &amp; output'!H4</f>
        <v>210000</v>
      </c>
      <c r="C4" s="13" t="s">
        <v>15</v>
      </c>
      <c r="D4" s="25"/>
      <c r="F4" s="16" t="s">
        <v>4</v>
      </c>
      <c r="G4" s="64">
        <f>'Input &amp; output'!B4</f>
        <v>100</v>
      </c>
      <c r="H4" s="17" t="s">
        <v>3</v>
      </c>
      <c r="I4" s="5"/>
    </row>
    <row r="5" spans="1:17" ht="18.75" hidden="1" customHeight="1">
      <c r="A5" s="16" t="s">
        <v>14</v>
      </c>
      <c r="B5" s="63">
        <f>B4/(2*(1+B6))</f>
        <v>80769.230769230766</v>
      </c>
      <c r="C5" s="6" t="s">
        <v>15</v>
      </c>
      <c r="D5" s="17"/>
      <c r="F5" s="16" t="s">
        <v>5</v>
      </c>
      <c r="G5" s="64">
        <f>'Input &amp; output'!B5</f>
        <v>50</v>
      </c>
      <c r="H5" s="17" t="s">
        <v>3</v>
      </c>
      <c r="I5" s="5"/>
    </row>
    <row r="6" spans="1:17" ht="18.75" hidden="1" customHeight="1">
      <c r="A6" s="140" t="s">
        <v>79</v>
      </c>
      <c r="B6" s="64">
        <f>'Input &amp; output'!H5</f>
        <v>0.3</v>
      </c>
      <c r="C6" s="6"/>
      <c r="D6" s="17"/>
      <c r="F6" s="16" t="s">
        <v>6</v>
      </c>
      <c r="G6" s="64">
        <f>'Input &amp; output'!B6</f>
        <v>20</v>
      </c>
      <c r="H6" s="17" t="s">
        <v>3</v>
      </c>
      <c r="I6" s="5"/>
    </row>
    <row r="7" spans="1:17" ht="18.75" hidden="1" customHeight="1">
      <c r="A7" s="30" t="s">
        <v>81</v>
      </c>
      <c r="B7" s="177">
        <f>'Input &amp; output'!H6</f>
        <v>350</v>
      </c>
      <c r="C7" s="6" t="s">
        <v>15</v>
      </c>
      <c r="D7" s="17"/>
      <c r="F7" s="16" t="s">
        <v>2</v>
      </c>
      <c r="G7" s="64">
        <f>'Input &amp; output'!B7</f>
        <v>1</v>
      </c>
      <c r="H7" s="17" t="s">
        <v>3</v>
      </c>
      <c r="I7" s="5"/>
    </row>
    <row r="8" spans="1:17" ht="18.75" hidden="1" customHeight="1" thickBot="1">
      <c r="A8" s="30" t="s">
        <v>17</v>
      </c>
      <c r="B8" s="64">
        <f>'Input &amp; output'!H7</f>
        <v>1</v>
      </c>
      <c r="C8" s="6"/>
      <c r="D8" s="17"/>
      <c r="F8" s="18" t="s">
        <v>1</v>
      </c>
      <c r="G8" s="65">
        <f>'Input &amp; output'!B8</f>
        <v>-0.5</v>
      </c>
      <c r="H8" s="24" t="s">
        <v>3</v>
      </c>
      <c r="I8" s="5"/>
    </row>
    <row r="9" spans="1:17" ht="18.75" hidden="1" customHeight="1" thickBot="1">
      <c r="A9" s="31" t="s">
        <v>18</v>
      </c>
      <c r="B9" s="65">
        <f>'Input &amp; output'!H8</f>
        <v>1</v>
      </c>
      <c r="C9" s="20"/>
      <c r="D9" s="24"/>
      <c r="F9" s="6"/>
      <c r="G9" s="6"/>
      <c r="H9" s="6"/>
      <c r="I9" s="5"/>
    </row>
    <row r="10" spans="1:17" ht="14.25" hidden="1" customHeight="1">
      <c r="A10" s="5"/>
      <c r="B10" s="32"/>
      <c r="C10" s="32"/>
      <c r="D10" s="32"/>
      <c r="I10" s="5"/>
    </row>
    <row r="11" spans="1:17" ht="14.25" hidden="1" customHeight="1">
      <c r="A11" s="129"/>
      <c r="B11" s="129"/>
      <c r="C11" s="32"/>
      <c r="D11" s="87"/>
      <c r="E11" s="40"/>
      <c r="F11" s="127"/>
      <c r="G11" s="127"/>
      <c r="H11" s="127"/>
      <c r="I11" s="127"/>
      <c r="K11" s="84"/>
      <c r="L11" s="5"/>
      <c r="M11" s="5"/>
      <c r="N11" s="56"/>
      <c r="P11" s="5"/>
      <c r="Q11" s="5"/>
    </row>
    <row r="12" spans="1:17" ht="18.75" hidden="1" customHeight="1" thickBot="1">
      <c r="A12" s="129"/>
      <c r="B12" s="129"/>
      <c r="C12" s="32"/>
      <c r="D12" s="87"/>
      <c r="E12" s="40"/>
      <c r="F12" s="127"/>
      <c r="G12" s="127"/>
      <c r="H12" s="127"/>
      <c r="I12" s="127"/>
      <c r="K12" s="84"/>
      <c r="L12" s="5"/>
      <c r="M12" s="5"/>
      <c r="N12" s="56"/>
      <c r="P12" s="5"/>
      <c r="Q12" s="5"/>
    </row>
    <row r="13" spans="1:17" ht="18.75" hidden="1" customHeight="1" thickBot="1">
      <c r="A13" s="43" t="s">
        <v>0</v>
      </c>
      <c r="B13" s="44"/>
      <c r="C13" s="45"/>
      <c r="D13" s="45"/>
      <c r="L13" s="8"/>
      <c r="M13" s="5"/>
      <c r="N13" s="6"/>
      <c r="O13" s="6"/>
      <c r="P13" s="5"/>
      <c r="Q13" s="5"/>
    </row>
    <row r="14" spans="1:17" ht="18.75" hidden="1" customHeight="1">
      <c r="A14" s="30" t="s">
        <v>23</v>
      </c>
      <c r="B14" s="68">
        <f>G8+(G7/2)</f>
        <v>0</v>
      </c>
      <c r="C14" s="6" t="s">
        <v>3</v>
      </c>
      <c r="D14" s="17"/>
      <c r="M14" s="163"/>
      <c r="N14" s="158" t="s">
        <v>111</v>
      </c>
      <c r="O14" s="6"/>
      <c r="P14" s="5"/>
      <c r="Q14" s="5"/>
    </row>
    <row r="15" spans="1:17" ht="18.75" hidden="1" customHeight="1">
      <c r="A15" s="30" t="s">
        <v>24</v>
      </c>
      <c r="B15" s="68">
        <f>B14*(TAN(45*PI()/180)-SIN(45*PI()/180))</f>
        <v>0</v>
      </c>
      <c r="C15" s="6" t="s">
        <v>3</v>
      </c>
      <c r="D15" s="17"/>
      <c r="F15" s="119" t="str">
        <f>IF(B14=0,"Let op!, Er wordt hier gerekend met rechte hoeken!","")</f>
        <v>Let op!, Er wordt hier gerekend met rechte hoeken!</v>
      </c>
      <c r="M15" s="163"/>
      <c r="N15" s="158" t="s">
        <v>114</v>
      </c>
      <c r="O15" s="6"/>
      <c r="P15" s="5"/>
      <c r="Q15" s="5"/>
    </row>
    <row r="16" spans="1:17" ht="18.75" hidden="1" customHeight="1">
      <c r="A16" s="111" t="s">
        <v>80</v>
      </c>
      <c r="B16" s="68">
        <f>0.5*PI()*B14</f>
        <v>0</v>
      </c>
      <c r="C16" s="6" t="s">
        <v>3</v>
      </c>
      <c r="D16" s="17"/>
      <c r="M16" s="164"/>
      <c r="N16" s="162" t="s">
        <v>117</v>
      </c>
      <c r="O16" s="6"/>
      <c r="P16" s="5"/>
      <c r="Q16" s="5"/>
    </row>
    <row r="17" spans="1:17" ht="18.75" hidden="1" customHeight="1">
      <c r="A17" s="30" t="s">
        <v>25</v>
      </c>
      <c r="B17" s="68">
        <f>0.637*B14</f>
        <v>0</v>
      </c>
      <c r="C17" s="6" t="s">
        <v>3</v>
      </c>
      <c r="D17" s="17"/>
      <c r="M17" s="163"/>
      <c r="N17" s="158" t="s">
        <v>120</v>
      </c>
      <c r="O17" s="6"/>
      <c r="P17" s="5"/>
      <c r="Q17" s="5"/>
    </row>
    <row r="18" spans="1:17" ht="18.75" hidden="1" customHeight="1">
      <c r="A18" s="30" t="s">
        <v>26</v>
      </c>
      <c r="B18" s="68">
        <f>0.149*(POWER(B14,3)*G7)</f>
        <v>0</v>
      </c>
      <c r="C18" s="173" t="s">
        <v>19</v>
      </c>
      <c r="D18" s="17"/>
      <c r="E18" s="32"/>
      <c r="F18" s="32"/>
      <c r="G18" s="32"/>
      <c r="H18" s="32"/>
      <c r="I18" s="32"/>
      <c r="J18" s="32"/>
      <c r="K18" s="32"/>
      <c r="L18" s="32"/>
      <c r="M18" s="163"/>
      <c r="N18" s="158" t="s">
        <v>121</v>
      </c>
      <c r="O18" s="6"/>
      <c r="P18" s="5"/>
      <c r="Q18" s="5"/>
    </row>
    <row r="19" spans="1:17" ht="18.75" hidden="1" customHeight="1" thickBot="1">
      <c r="A19" s="58" t="s">
        <v>63</v>
      </c>
      <c r="B19" s="69">
        <f>((PI()*POWER((G8+G7),2))-(PI()*POWER(G8,2)))/4</f>
        <v>0</v>
      </c>
      <c r="C19" s="174" t="s">
        <v>8</v>
      </c>
      <c r="D19" s="24"/>
      <c r="E19" s="32"/>
      <c r="F19" s="32"/>
      <c r="G19" s="32"/>
      <c r="H19" s="32"/>
      <c r="I19" s="32"/>
      <c r="J19" s="32"/>
      <c r="K19" s="32"/>
      <c r="L19" s="32"/>
      <c r="M19" s="163"/>
      <c r="N19" s="159" t="s">
        <v>110</v>
      </c>
      <c r="O19" s="6"/>
      <c r="P19" s="5"/>
      <c r="Q19" s="5"/>
    </row>
    <row r="20" spans="1:17" ht="14.25" hidden="1" customHeight="1">
      <c r="A20" s="8"/>
      <c r="B20" s="50"/>
      <c r="C20" s="6"/>
      <c r="D20" s="32"/>
      <c r="E20" s="32"/>
      <c r="F20" s="121"/>
      <c r="G20" s="32"/>
      <c r="H20" s="32"/>
      <c r="I20" s="32"/>
      <c r="J20" s="32"/>
      <c r="K20" s="32"/>
      <c r="L20" s="32"/>
      <c r="M20" s="165"/>
      <c r="N20" s="50"/>
      <c r="O20" s="6"/>
      <c r="P20" s="5"/>
      <c r="Q20" s="5"/>
    </row>
    <row r="21" spans="1:17" ht="18.75" hidden="1" customHeight="1" thickBot="1">
      <c r="A21" s="8"/>
      <c r="B21" s="50"/>
      <c r="C21" s="6"/>
      <c r="D21" s="32"/>
      <c r="E21" s="32"/>
      <c r="F21" s="32"/>
      <c r="G21" s="32"/>
      <c r="H21" s="32"/>
      <c r="I21" s="32"/>
      <c r="J21" s="32"/>
      <c r="K21" s="32"/>
      <c r="L21" s="32"/>
      <c r="M21" s="165"/>
      <c r="N21" s="50"/>
      <c r="O21" s="6"/>
      <c r="P21" s="5"/>
      <c r="Q21" s="5"/>
    </row>
    <row r="22" spans="1:17" ht="18.75" hidden="1" customHeight="1" thickBot="1">
      <c r="A22" s="43" t="s">
        <v>31</v>
      </c>
      <c r="B22" s="44"/>
      <c r="C22" s="44"/>
      <c r="D22" s="44"/>
      <c r="E22" s="44"/>
      <c r="F22" s="45"/>
      <c r="I22" s="5"/>
      <c r="J22" s="5"/>
      <c r="K22" s="5"/>
      <c r="L22" s="5"/>
      <c r="M22" s="165"/>
      <c r="N22" s="50"/>
      <c r="O22" s="6"/>
      <c r="P22" s="5"/>
      <c r="Q22" s="5"/>
    </row>
    <row r="23" spans="1:17" ht="14.25" hidden="1" customHeight="1">
      <c r="A23" s="16" t="s">
        <v>4</v>
      </c>
      <c r="B23" s="67">
        <f>G4</f>
        <v>100</v>
      </c>
      <c r="C23" s="59" t="s">
        <v>5</v>
      </c>
      <c r="D23" s="67">
        <f>G5</f>
        <v>50</v>
      </c>
      <c r="E23" s="59" t="s">
        <v>6</v>
      </c>
      <c r="F23" s="70">
        <f>G6</f>
        <v>20</v>
      </c>
      <c r="I23" s="5"/>
      <c r="J23" s="5"/>
      <c r="K23" s="5"/>
      <c r="L23" s="5"/>
      <c r="M23" s="8"/>
      <c r="O23" s="5"/>
      <c r="P23" s="5"/>
      <c r="Q23" s="5"/>
    </row>
    <row r="24" spans="1:17" ht="14.25" hidden="1" customHeight="1">
      <c r="A24" s="57" t="s">
        <v>54</v>
      </c>
      <c r="B24" s="68">
        <f>B23-G7</f>
        <v>99</v>
      </c>
      <c r="C24" s="60" t="s">
        <v>55</v>
      </c>
      <c r="D24" s="68">
        <f>D23-G7</f>
        <v>49</v>
      </c>
      <c r="E24" s="60" t="s">
        <v>56</v>
      </c>
      <c r="F24" s="71">
        <f>F23-(0.5*G7)</f>
        <v>19.5</v>
      </c>
      <c r="I24" s="5"/>
      <c r="J24" s="5"/>
      <c r="K24" s="5"/>
      <c r="L24" s="106"/>
      <c r="M24" s="8"/>
      <c r="N24" s="158" t="s">
        <v>112</v>
      </c>
      <c r="P24" s="161" t="s">
        <v>113</v>
      </c>
      <c r="Q24" s="202" t="s">
        <v>162</v>
      </c>
    </row>
    <row r="25" spans="1:17" ht="18.75" hidden="1" customHeight="1">
      <c r="A25" s="57" t="s">
        <v>57</v>
      </c>
      <c r="B25" s="68">
        <f>B24-(2*B14)</f>
        <v>99</v>
      </c>
      <c r="C25" s="60" t="s">
        <v>58</v>
      </c>
      <c r="D25" s="68">
        <f>D24-(2*B14)</f>
        <v>49</v>
      </c>
      <c r="E25" s="60" t="s">
        <v>59</v>
      </c>
      <c r="F25" s="71">
        <f>F24-B14</f>
        <v>19.5</v>
      </c>
      <c r="I25" s="32"/>
      <c r="J25" s="34"/>
      <c r="K25" s="6"/>
      <c r="L25" s="107"/>
      <c r="M25" s="6"/>
      <c r="N25" s="158" t="s">
        <v>115</v>
      </c>
      <c r="P25" s="161" t="s">
        <v>116</v>
      </c>
      <c r="Q25" s="202" t="s">
        <v>163</v>
      </c>
    </row>
    <row r="26" spans="1:17" ht="18.75" hidden="1" customHeight="1" thickBot="1">
      <c r="A26" s="58" t="s">
        <v>60</v>
      </c>
      <c r="B26" s="69">
        <f>B24-(2*B15)</f>
        <v>99</v>
      </c>
      <c r="C26" s="61" t="s">
        <v>61</v>
      </c>
      <c r="D26" s="69">
        <f>D24-(2*B15)</f>
        <v>49</v>
      </c>
      <c r="E26" s="61" t="s">
        <v>62</v>
      </c>
      <c r="F26" s="72">
        <f>F24-B15</f>
        <v>19.5</v>
      </c>
      <c r="J26" s="34"/>
      <c r="K26" s="6"/>
      <c r="M26" s="6"/>
      <c r="N26" s="158" t="s">
        <v>118</v>
      </c>
      <c r="P26" s="161" t="s">
        <v>119</v>
      </c>
      <c r="Q26" s="202" t="s">
        <v>164</v>
      </c>
    </row>
    <row r="27" spans="1:17" ht="18.75" hidden="1" customHeight="1">
      <c r="I27" s="5"/>
      <c r="J27" s="34"/>
      <c r="K27" s="5"/>
      <c r="L27" s="5"/>
      <c r="M27" s="5"/>
      <c r="P27" s="5"/>
      <c r="Q27" s="5"/>
    </row>
    <row r="28" spans="1:17" ht="14.25" hidden="1" customHeight="1" thickBot="1">
      <c r="I28" s="50"/>
      <c r="J28" s="34"/>
      <c r="K28" s="5"/>
      <c r="L28" s="5"/>
      <c r="M28" s="5"/>
      <c r="P28" s="5"/>
      <c r="Q28" s="5"/>
    </row>
    <row r="29" spans="1:17" ht="14.25" hidden="1" customHeight="1" thickBot="1">
      <c r="A29" s="46" t="s">
        <v>40</v>
      </c>
      <c r="B29" s="44"/>
      <c r="C29" s="44"/>
      <c r="D29" s="44"/>
      <c r="E29" s="49"/>
      <c r="F29" s="44"/>
      <c r="G29" s="44"/>
      <c r="H29" s="45"/>
      <c r="I29" s="32"/>
      <c r="J29" s="34"/>
      <c r="K29" s="5"/>
      <c r="L29" s="5"/>
      <c r="M29" s="5"/>
      <c r="O29" s="5"/>
      <c r="P29" s="5"/>
      <c r="Q29" s="5"/>
    </row>
    <row r="30" spans="1:17" ht="14.25" hidden="1" customHeight="1">
      <c r="A30" s="90" t="s">
        <v>29</v>
      </c>
      <c r="B30" s="91"/>
      <c r="C30" s="91"/>
      <c r="D30" s="91" t="s">
        <v>30</v>
      </c>
      <c r="E30" s="42"/>
      <c r="F30" s="42"/>
      <c r="G30" s="41"/>
      <c r="H30" s="80"/>
      <c r="I30" s="32"/>
      <c r="J30" s="34"/>
      <c r="K30" s="6"/>
      <c r="L30" s="6"/>
      <c r="M30" s="6"/>
      <c r="N30" s="5"/>
      <c r="O30" s="5"/>
      <c r="P30" s="5"/>
      <c r="Q30" s="5"/>
    </row>
    <row r="31" spans="1:17" ht="14.25" hidden="1" customHeight="1">
      <c r="A31" s="75" t="s">
        <v>64</v>
      </c>
      <c r="B31" s="68">
        <f>(2*G5*G7)+(G7*(G4-(2*G7)))+(2*G7*(G6-G7))</f>
        <v>236</v>
      </c>
      <c r="C31" s="73" t="s">
        <v>8</v>
      </c>
      <c r="D31" s="74" t="s">
        <v>65</v>
      </c>
      <c r="E31" s="68">
        <f>(G7*B25)+(2*D25*G7)+(2*G7*F25)+(4*B19)</f>
        <v>236</v>
      </c>
      <c r="F31" s="170" t="s">
        <v>8</v>
      </c>
      <c r="G31" s="2"/>
      <c r="H31" s="17"/>
      <c r="I31" s="32"/>
      <c r="J31" s="34"/>
      <c r="K31" s="6"/>
      <c r="L31" s="6"/>
      <c r="M31" s="6"/>
      <c r="N31" s="199" t="s">
        <v>157</v>
      </c>
      <c r="O31" s="5"/>
      <c r="P31" s="5"/>
      <c r="Q31" s="5"/>
    </row>
    <row r="32" spans="1:17" ht="14.25" hidden="1" customHeight="1">
      <c r="A32" s="76" t="s">
        <v>20</v>
      </c>
      <c r="B32" s="68">
        <f>(((2*G5*G7*(0.5*G5))+(G7*(G4-(2*G7))*(0.5*G7))+(2*G7*(G6-G7)*(G5-(0.5*G7))))/((2*G5*G7)+(G7*(G4-(2*G7)))+(2*G7*(G6-G7))))-(G7/2)</f>
        <v>18.271186440677965</v>
      </c>
      <c r="C32" s="73" t="s">
        <v>3</v>
      </c>
      <c r="D32" s="74" t="s">
        <v>66</v>
      </c>
      <c r="E32" s="68">
        <f>(((B25*G7*(0.5*G7))+(2*B19*((B14-B17)+(0.5*G7)))+(2*D25*G7*(0.5*G5))+(2*B19*(G5-((0.5*G7)+(B14-B17))))+(2*F25*G7*(G5-(0.5*G7))))/E31)-(G7/2)</f>
        <v>18.271186440677965</v>
      </c>
      <c r="F32" s="86" t="s">
        <v>3</v>
      </c>
      <c r="G32" s="2"/>
      <c r="H32" s="17"/>
      <c r="I32" s="32"/>
      <c r="J32" s="34"/>
      <c r="K32" s="6"/>
      <c r="L32" s="6"/>
      <c r="M32" s="6"/>
      <c r="N32" s="199" t="s">
        <v>158</v>
      </c>
      <c r="O32" s="5"/>
      <c r="P32" s="5"/>
      <c r="Q32" s="5"/>
    </row>
    <row r="33" spans="1:17" ht="14.25" hidden="1" customHeight="1">
      <c r="A33" s="76" t="s">
        <v>28</v>
      </c>
      <c r="B33" s="68">
        <f>B24/2</f>
        <v>49.5</v>
      </c>
      <c r="C33" s="73" t="s">
        <v>3</v>
      </c>
      <c r="D33" s="74" t="s">
        <v>67</v>
      </c>
      <c r="E33" s="68">
        <f>B24/2</f>
        <v>49.5</v>
      </c>
      <c r="F33" s="85" t="s">
        <v>3</v>
      </c>
      <c r="G33" s="2"/>
      <c r="H33" s="17"/>
      <c r="I33" s="32"/>
      <c r="J33" s="34"/>
      <c r="K33" s="6"/>
      <c r="L33" s="6"/>
      <c r="M33" s="6"/>
      <c r="N33" s="199" t="s">
        <v>159</v>
      </c>
      <c r="O33" s="5"/>
      <c r="P33" s="5"/>
      <c r="Q33" s="5"/>
    </row>
    <row r="34" spans="1:17" ht="14.25" hidden="1" customHeight="1">
      <c r="A34" s="75" t="s">
        <v>68</v>
      </c>
      <c r="B34" s="200">
        <f>(2*(D24*G7*POWER((B24/2),2)))+((1/12)*G7*POWER(B24,3))+(2*(((1/12)*G7*POWER((F24),3))+(G7*(F24)*POWER(((B24/2)-F24+(F24/2)),2))))</f>
        <v>383841</v>
      </c>
      <c r="C34" s="172" t="s">
        <v>19</v>
      </c>
      <c r="D34" s="74" t="s">
        <v>69</v>
      </c>
      <c r="E34" s="196">
        <f>(2*((D25*G7*POWER((B24/2),2))))+((1/12)*G7*POWER(B25,3))+(4*(B18+(B19*POWER(((B25/2)+B17),2))))+(2*(((1/12)*G7*POWER(F25,3))+(G7*F25*POWER(((G4/2)-G6+(F25/2)),2))))</f>
        <v>383841</v>
      </c>
      <c r="F34" s="171" t="s">
        <v>19</v>
      </c>
      <c r="G34" s="2"/>
      <c r="H34" s="17"/>
      <c r="I34" s="32"/>
      <c r="J34" s="34"/>
      <c r="K34" s="6"/>
      <c r="L34" s="6"/>
      <c r="M34" s="6"/>
      <c r="N34" s="199" t="s">
        <v>166</v>
      </c>
      <c r="O34" s="5"/>
      <c r="P34" s="5"/>
      <c r="Q34" s="5"/>
    </row>
    <row r="35" spans="1:17" ht="18.75" hidden="1" customHeight="1">
      <c r="A35" s="75" t="s">
        <v>70</v>
      </c>
      <c r="B35" s="201">
        <f>G7*B24*B32^2+2/12*G7*D24^3+2*G7*D24*(D24/2-E32)^2+2*G7*F24*(D24-E32)^2</f>
        <v>93286.310734463274</v>
      </c>
      <c r="C35" s="172" t="s">
        <v>19</v>
      </c>
      <c r="D35" s="74" t="s">
        <v>71</v>
      </c>
      <c r="E35" s="196">
        <f>((B25*G7*POWER(E32,2)))+(2*(B18+(B19*POWER((E32-(B14-B17)),2))))+(2*(((1/12)*G7*POWER(D25,3))+(D25*G7*POWER(((D24/2)-E32),2))))+(2*(B18+(B19*POWER(((D24-(B14-B17))-E32),2))))+(2*((F25*G7*POWER((D24-E32),2))))</f>
        <v>93286.310734463274</v>
      </c>
      <c r="F35" s="171" t="s">
        <v>19</v>
      </c>
      <c r="G35" s="2"/>
      <c r="H35" s="17"/>
      <c r="I35" s="32"/>
      <c r="J35" s="34"/>
      <c r="K35" s="6"/>
      <c r="L35" s="6"/>
      <c r="M35" s="6"/>
      <c r="N35" s="199" t="s">
        <v>165</v>
      </c>
      <c r="O35" s="5"/>
      <c r="P35" s="5"/>
      <c r="Q35" s="5"/>
    </row>
    <row r="36" spans="1:17" ht="18.75" hidden="1" customHeight="1">
      <c r="A36" s="75" t="s">
        <v>72</v>
      </c>
      <c r="B36" s="68">
        <f>SQRT(B34/B31)</f>
        <v>40.329206727311622</v>
      </c>
      <c r="C36" s="73" t="s">
        <v>3</v>
      </c>
      <c r="D36" s="74" t="s">
        <v>73</v>
      </c>
      <c r="E36" s="68">
        <f>SQRT(E34/E31)</f>
        <v>40.329206727311622</v>
      </c>
      <c r="F36" s="86" t="s">
        <v>3</v>
      </c>
      <c r="G36" s="2"/>
      <c r="H36" s="17"/>
      <c r="I36" s="32"/>
      <c r="J36" s="34"/>
      <c r="K36" s="6"/>
      <c r="L36" s="6"/>
      <c r="M36" s="6"/>
      <c r="N36" s="199" t="s">
        <v>160</v>
      </c>
      <c r="O36" s="5"/>
      <c r="P36" s="5"/>
      <c r="Q36" s="5"/>
    </row>
    <row r="37" spans="1:17" ht="18.75" hidden="1" customHeight="1" thickBot="1">
      <c r="A37" s="77" t="s">
        <v>74</v>
      </c>
      <c r="B37" s="69">
        <f>SQRT(B35/B31)</f>
        <v>19.881674418629927</v>
      </c>
      <c r="C37" s="66" t="s">
        <v>3</v>
      </c>
      <c r="D37" s="108" t="s">
        <v>75</v>
      </c>
      <c r="E37" s="69">
        <f>SQRT(E35/E31)</f>
        <v>19.881674418629927</v>
      </c>
      <c r="F37" s="109" t="s">
        <v>3</v>
      </c>
      <c r="G37" s="3"/>
      <c r="H37" s="24"/>
      <c r="I37" s="32"/>
      <c r="J37" s="34"/>
      <c r="K37" s="6"/>
      <c r="L37" s="6"/>
      <c r="M37" s="6"/>
      <c r="N37" s="199" t="s">
        <v>161</v>
      </c>
      <c r="O37" s="5"/>
      <c r="P37" s="5"/>
      <c r="Q37" s="5"/>
    </row>
    <row r="38" spans="1:17" ht="18.75" hidden="1" customHeight="1">
      <c r="A38" s="33"/>
      <c r="B38" s="8"/>
      <c r="C38" s="8"/>
      <c r="D38" s="8"/>
      <c r="E38" s="33"/>
      <c r="F38" s="50"/>
      <c r="G38" s="8"/>
      <c r="H38" s="6"/>
      <c r="I38" s="32"/>
      <c r="J38" s="34"/>
      <c r="K38" s="6"/>
      <c r="L38" s="6"/>
      <c r="M38" s="6"/>
      <c r="N38" s="160"/>
      <c r="O38" s="5"/>
      <c r="P38" s="5"/>
      <c r="Q38" s="5"/>
    </row>
    <row r="39" spans="1:17" ht="18.75" hidden="1" customHeight="1">
      <c r="A39" s="33"/>
      <c r="B39" s="8"/>
      <c r="C39" s="8"/>
      <c r="D39" s="8"/>
      <c r="E39" s="33"/>
      <c r="F39" s="50"/>
      <c r="G39" s="8"/>
      <c r="H39" s="6"/>
      <c r="I39" s="32"/>
      <c r="J39" s="34"/>
      <c r="K39" s="6"/>
      <c r="L39" s="6"/>
      <c r="M39" s="6"/>
      <c r="N39" s="160"/>
      <c r="O39" s="5"/>
      <c r="P39" s="5"/>
      <c r="Q39" s="5"/>
    </row>
    <row r="40" spans="1:17" ht="18.75" hidden="1" customHeight="1">
      <c r="A40" s="33"/>
      <c r="B40" s="8"/>
      <c r="C40" s="8"/>
      <c r="D40" s="8"/>
      <c r="E40" s="33"/>
      <c r="F40" s="50"/>
      <c r="G40" s="8"/>
      <c r="H40" s="6"/>
      <c r="I40" s="32"/>
      <c r="J40" s="34"/>
      <c r="K40" s="6"/>
      <c r="L40" s="6"/>
      <c r="M40" s="6"/>
      <c r="N40" s="160"/>
      <c r="O40" s="5"/>
      <c r="P40" s="5"/>
      <c r="Q40" s="5"/>
    </row>
    <row r="41" spans="1:17" ht="18.75" hidden="1" customHeight="1">
      <c r="A41" s="33"/>
      <c r="B41" s="8"/>
      <c r="C41" s="8"/>
      <c r="D41" s="8"/>
      <c r="E41" s="33"/>
      <c r="F41" s="50"/>
      <c r="G41" s="8"/>
      <c r="H41" s="6"/>
      <c r="I41" s="32"/>
      <c r="J41" s="34"/>
      <c r="K41" s="6"/>
      <c r="L41" s="6"/>
      <c r="M41" s="6"/>
      <c r="N41" s="160"/>
      <c r="O41" s="5"/>
      <c r="P41" s="5"/>
      <c r="Q41" s="5"/>
    </row>
    <row r="42" spans="1:17" ht="14.25" hidden="1" customHeight="1">
      <c r="A42" s="33"/>
      <c r="B42" s="8"/>
      <c r="C42" s="8"/>
      <c r="D42" s="8"/>
      <c r="E42" s="33"/>
      <c r="F42" s="50"/>
      <c r="G42" s="8"/>
      <c r="H42" s="6"/>
      <c r="I42" s="32"/>
      <c r="J42" s="34"/>
      <c r="K42" s="6"/>
      <c r="L42" s="6"/>
      <c r="M42" s="6"/>
      <c r="N42" s="160"/>
      <c r="O42" s="5"/>
      <c r="P42" s="5"/>
      <c r="Q42" s="5"/>
    </row>
    <row r="43" spans="1:17" ht="14.25" hidden="1" customHeight="1">
      <c r="A43" s="33"/>
      <c r="B43" s="8"/>
      <c r="C43" s="8"/>
      <c r="D43" s="8"/>
      <c r="E43" s="33"/>
      <c r="F43" s="50"/>
      <c r="G43" s="8"/>
      <c r="H43" s="6"/>
      <c r="I43" s="32"/>
      <c r="J43" s="34"/>
      <c r="K43" s="6"/>
      <c r="L43" s="6"/>
      <c r="M43" s="6"/>
      <c r="N43" s="160"/>
      <c r="O43" s="5"/>
      <c r="P43" s="5"/>
      <c r="Q43" s="5"/>
    </row>
    <row r="44" spans="1:17" ht="18.75" hidden="1" customHeight="1">
      <c r="A44" s="33"/>
      <c r="B44" s="8"/>
      <c r="C44" s="8"/>
      <c r="D44" s="8"/>
      <c r="E44" s="33"/>
      <c r="F44" s="50"/>
      <c r="G44" s="8"/>
      <c r="H44" s="6"/>
      <c r="I44" s="32"/>
      <c r="J44" s="34"/>
      <c r="K44" s="6"/>
      <c r="L44" s="6"/>
      <c r="M44" s="6"/>
      <c r="N44" s="160"/>
      <c r="O44" s="5"/>
      <c r="P44" s="5"/>
      <c r="Q44" s="5"/>
    </row>
    <row r="45" spans="1:17" ht="18.75" customHeight="1" thickBot="1">
      <c r="A45" s="33"/>
      <c r="B45" s="8"/>
      <c r="C45" s="8"/>
      <c r="D45" s="8"/>
      <c r="E45" s="33"/>
      <c r="F45" s="50"/>
      <c r="G45" s="8"/>
      <c r="H45" s="6"/>
      <c r="I45" s="32"/>
      <c r="J45" s="34"/>
      <c r="K45" s="6"/>
      <c r="L45" s="6"/>
      <c r="M45" s="6"/>
      <c r="N45" s="5"/>
      <c r="O45" s="5"/>
      <c r="P45" s="5"/>
      <c r="Q45" s="5"/>
    </row>
    <row r="46" spans="1:17" ht="18.75" customHeight="1" thickBot="1">
      <c r="A46" s="286" t="s">
        <v>258</v>
      </c>
      <c r="B46" s="44"/>
      <c r="C46" s="49"/>
      <c r="D46" s="44"/>
      <c r="E46" s="44"/>
      <c r="F46" s="49"/>
      <c r="G46" s="51"/>
      <c r="H46" s="45"/>
      <c r="I46" s="8"/>
      <c r="J46" s="8"/>
      <c r="K46" s="8"/>
      <c r="L46" s="8"/>
      <c r="M46" s="5"/>
      <c r="N46" s="5"/>
      <c r="O46" s="5"/>
      <c r="P46" s="5"/>
      <c r="Q46" s="5"/>
    </row>
    <row r="47" spans="1:17" ht="18.75" customHeight="1">
      <c r="A47" s="83"/>
      <c r="B47" s="42"/>
      <c r="C47" s="13"/>
      <c r="D47" s="42"/>
      <c r="E47" s="42"/>
      <c r="F47" s="340"/>
      <c r="G47" s="340"/>
      <c r="H47" s="341"/>
      <c r="I47" s="8"/>
      <c r="J47" s="8"/>
      <c r="K47" s="8"/>
      <c r="L47" s="8"/>
      <c r="M47" s="5"/>
      <c r="N47" s="5"/>
      <c r="O47" s="5"/>
      <c r="P47" s="5"/>
      <c r="Q47" s="5"/>
    </row>
    <row r="48" spans="1:17" ht="18.75" customHeight="1">
      <c r="A48" s="125"/>
      <c r="B48" s="8"/>
      <c r="C48" s="6"/>
      <c r="D48" s="335"/>
      <c r="E48" s="335"/>
      <c r="F48" s="335"/>
      <c r="G48" s="335"/>
      <c r="H48" s="336"/>
      <c r="I48" s="8"/>
      <c r="J48" s="8"/>
      <c r="K48" s="8"/>
      <c r="L48" s="8"/>
      <c r="M48" s="5"/>
      <c r="N48" s="5"/>
      <c r="O48" s="5"/>
      <c r="P48" s="5"/>
      <c r="Q48" s="5"/>
    </row>
    <row r="49" spans="1:17" ht="14.25" customHeight="1">
      <c r="A49" s="125"/>
      <c r="B49" s="8"/>
      <c r="C49" s="50"/>
      <c r="D49" s="334"/>
      <c r="E49" s="334"/>
      <c r="F49" s="334"/>
      <c r="G49" s="334"/>
      <c r="H49" s="337"/>
      <c r="I49" s="8"/>
      <c r="J49" s="8"/>
      <c r="K49" s="8"/>
      <c r="L49" s="8"/>
      <c r="M49" s="5"/>
      <c r="N49" s="5"/>
      <c r="O49" s="5"/>
      <c r="P49" s="5"/>
      <c r="Q49" s="5"/>
    </row>
    <row r="50" spans="1:17">
      <c r="A50" s="125"/>
      <c r="B50" s="8"/>
      <c r="C50" s="6"/>
      <c r="D50" s="334"/>
      <c r="E50" s="334"/>
      <c r="F50" s="334"/>
      <c r="G50" s="334"/>
      <c r="H50" s="337"/>
      <c r="I50" s="8"/>
      <c r="J50" s="8"/>
      <c r="K50" s="8"/>
      <c r="L50" s="8"/>
      <c r="M50" s="5"/>
      <c r="N50" s="5"/>
      <c r="O50" s="5"/>
      <c r="P50" s="5"/>
      <c r="Q50" s="5"/>
    </row>
    <row r="51" spans="1:17" ht="18.75" customHeight="1">
      <c r="A51" s="125"/>
      <c r="B51" s="8"/>
      <c r="C51" s="6"/>
      <c r="D51" s="334"/>
      <c r="E51" s="334"/>
      <c r="F51" s="334"/>
      <c r="G51" s="334"/>
      <c r="H51" s="337"/>
      <c r="I51" s="8"/>
      <c r="J51" s="8"/>
      <c r="K51" s="8"/>
      <c r="L51" s="8"/>
      <c r="M51" s="5"/>
      <c r="N51" s="5"/>
      <c r="O51" s="5"/>
      <c r="P51" s="5"/>
      <c r="Q51" s="5"/>
    </row>
    <row r="52" spans="1:17" ht="18.75" customHeight="1">
      <c r="A52" s="125"/>
      <c r="B52" s="8"/>
      <c r="C52" s="6"/>
      <c r="D52" s="334"/>
      <c r="E52" s="334"/>
      <c r="F52" s="334"/>
      <c r="G52" s="334"/>
      <c r="H52" s="337"/>
      <c r="I52" s="8"/>
      <c r="J52" s="8"/>
      <c r="K52" s="8"/>
      <c r="L52" s="8"/>
      <c r="M52" s="5"/>
      <c r="N52" s="5"/>
      <c r="O52" s="5"/>
      <c r="P52" s="5"/>
      <c r="Q52" s="5"/>
    </row>
    <row r="53" spans="1:17" ht="18.75" customHeight="1">
      <c r="A53" s="125"/>
      <c r="B53" s="8"/>
      <c r="C53" s="6"/>
      <c r="D53" s="334"/>
      <c r="E53" s="334"/>
      <c r="F53" s="334"/>
      <c r="G53" s="334"/>
      <c r="H53" s="337"/>
      <c r="I53" s="8"/>
      <c r="J53" s="8"/>
      <c r="K53" s="8"/>
      <c r="L53" s="8"/>
      <c r="M53" s="5"/>
      <c r="N53" s="5"/>
      <c r="O53" s="5"/>
      <c r="P53" s="5"/>
      <c r="Q53" s="5"/>
    </row>
    <row r="54" spans="1:17" ht="18.75" customHeight="1">
      <c r="A54" s="125"/>
      <c r="B54" s="8"/>
      <c r="C54" s="6"/>
      <c r="D54" s="334"/>
      <c r="E54" s="334"/>
      <c r="F54" s="334"/>
      <c r="G54" s="334"/>
      <c r="H54" s="337"/>
      <c r="I54" s="8"/>
      <c r="J54" s="8"/>
      <c r="K54" s="8"/>
      <c r="L54" s="8"/>
      <c r="M54" s="5"/>
      <c r="N54" s="5"/>
      <c r="O54" s="5"/>
      <c r="P54" s="5"/>
      <c r="Q54" s="5"/>
    </row>
    <row r="55" spans="1:17" ht="18.75" customHeight="1">
      <c r="A55" s="125"/>
      <c r="B55" s="8"/>
      <c r="C55" s="6"/>
      <c r="D55" s="334"/>
      <c r="E55" s="334"/>
      <c r="F55" s="334"/>
      <c r="G55" s="334"/>
      <c r="H55" s="337"/>
      <c r="I55" s="8"/>
      <c r="J55" s="8"/>
      <c r="K55" s="8"/>
      <c r="L55" s="8"/>
      <c r="M55" s="5"/>
      <c r="N55" s="5"/>
      <c r="O55" s="5"/>
      <c r="P55" s="5"/>
      <c r="Q55" s="5"/>
    </row>
    <row r="56" spans="1:17" ht="18.75" customHeight="1">
      <c r="A56" s="125"/>
      <c r="B56" s="8"/>
      <c r="C56" s="6"/>
      <c r="D56" s="334"/>
      <c r="E56" s="334"/>
      <c r="F56" s="334"/>
      <c r="G56" s="334"/>
      <c r="H56" s="337"/>
      <c r="I56" s="8"/>
      <c r="J56" s="8"/>
      <c r="K56" s="8"/>
      <c r="L56" s="8"/>
      <c r="M56" s="5"/>
      <c r="N56" s="5"/>
      <c r="O56" s="5"/>
      <c r="P56" s="5"/>
      <c r="Q56" s="5"/>
    </row>
    <row r="57" spans="1:17" ht="18.75" customHeight="1">
      <c r="A57" s="125"/>
      <c r="B57" s="8"/>
      <c r="C57" s="6"/>
      <c r="D57" s="334"/>
      <c r="E57" s="334"/>
      <c r="F57" s="334"/>
      <c r="G57" s="334"/>
      <c r="H57" s="337"/>
      <c r="I57" s="8"/>
      <c r="J57" s="8"/>
      <c r="K57" s="8"/>
      <c r="L57" s="8"/>
      <c r="M57" s="5"/>
      <c r="N57" s="5"/>
      <c r="O57" s="5"/>
      <c r="P57" s="5"/>
      <c r="Q57" s="5"/>
    </row>
    <row r="58" spans="1:17" ht="18.75" customHeight="1">
      <c r="A58" s="125"/>
      <c r="B58" s="8"/>
      <c r="C58" s="6"/>
      <c r="D58" s="334"/>
      <c r="E58" s="334"/>
      <c r="F58" s="334"/>
      <c r="G58" s="334"/>
      <c r="H58" s="337"/>
      <c r="I58" s="8"/>
      <c r="J58" s="8"/>
      <c r="K58" s="8"/>
      <c r="L58" s="8"/>
      <c r="M58" s="5"/>
      <c r="N58" s="5"/>
      <c r="O58" s="5"/>
      <c r="P58" s="5"/>
      <c r="Q58" s="5"/>
    </row>
    <row r="59" spans="1:17" ht="18.75" customHeight="1">
      <c r="A59" s="81"/>
      <c r="B59" s="8"/>
      <c r="C59" s="6"/>
      <c r="D59" s="338"/>
      <c r="E59" s="338"/>
      <c r="F59" s="338"/>
      <c r="G59" s="338"/>
      <c r="H59" s="339"/>
      <c r="I59" s="309"/>
      <c r="J59" s="310"/>
      <c r="K59" s="310"/>
      <c r="L59" s="5"/>
      <c r="M59" s="5"/>
      <c r="N59" s="5"/>
      <c r="O59" s="5"/>
      <c r="P59" s="5"/>
      <c r="Q59" s="5"/>
    </row>
    <row r="60" spans="1:17">
      <c r="A60" s="88" t="s">
        <v>52</v>
      </c>
      <c r="B60" s="133"/>
      <c r="C60" s="347" t="s">
        <v>51</v>
      </c>
      <c r="D60" s="348"/>
      <c r="E60" s="349"/>
      <c r="F60" s="89" t="s">
        <v>50</v>
      </c>
      <c r="G60" s="89" t="s">
        <v>43</v>
      </c>
      <c r="H60" s="151" t="s">
        <v>224</v>
      </c>
      <c r="I60" s="29"/>
      <c r="J60" s="29"/>
      <c r="K60" s="29"/>
      <c r="L60" s="5"/>
      <c r="M60" s="5"/>
      <c r="N60" s="5"/>
      <c r="O60" s="5"/>
      <c r="P60" s="5"/>
      <c r="Q60" s="5"/>
    </row>
    <row r="61" spans="1:17">
      <c r="A61" s="342" t="s">
        <v>44</v>
      </c>
      <c r="B61" s="343"/>
      <c r="C61" s="344" t="s">
        <v>83</v>
      </c>
      <c r="D61" s="345"/>
      <c r="E61" s="346"/>
      <c r="F61" s="256" t="s">
        <v>11</v>
      </c>
      <c r="G61" s="116" t="s">
        <v>46</v>
      </c>
      <c r="H61" s="152">
        <v>1</v>
      </c>
      <c r="I61" s="331" t="s">
        <v>104</v>
      </c>
      <c r="J61" s="332"/>
      <c r="K61" s="148"/>
      <c r="L61" s="5"/>
      <c r="M61" s="5"/>
      <c r="N61" s="5"/>
      <c r="O61" s="5"/>
      <c r="P61" s="5"/>
      <c r="Q61" s="5"/>
    </row>
    <row r="62" spans="1:17" ht="18.75">
      <c r="A62" s="271" t="s">
        <v>207</v>
      </c>
      <c r="B62" s="132"/>
      <c r="C62" s="324" t="s">
        <v>84</v>
      </c>
      <c r="D62" s="314"/>
      <c r="E62" s="325"/>
      <c r="F62" s="257" t="s">
        <v>172</v>
      </c>
      <c r="G62" s="36" t="s">
        <v>46</v>
      </c>
      <c r="H62" s="153">
        <v>4</v>
      </c>
      <c r="I62" s="331" t="s">
        <v>104</v>
      </c>
      <c r="J62" s="332"/>
      <c r="K62" s="148"/>
      <c r="L62" s="5"/>
      <c r="M62" s="5"/>
      <c r="N62" s="5"/>
      <c r="O62" s="5"/>
      <c r="P62" s="5"/>
      <c r="Q62" s="5"/>
    </row>
    <row r="63" spans="1:17">
      <c r="A63" s="320"/>
      <c r="B63" s="321"/>
      <c r="C63" s="333"/>
      <c r="D63" s="334"/>
      <c r="E63" s="323"/>
      <c r="F63" s="258" t="s">
        <v>9</v>
      </c>
      <c r="G63" s="36" t="s">
        <v>46</v>
      </c>
      <c r="H63" s="154">
        <f>SQRT(235/B7)</f>
        <v>0.81940745141142779</v>
      </c>
      <c r="I63" s="331" t="s">
        <v>78</v>
      </c>
      <c r="J63" s="332"/>
      <c r="K63" s="148"/>
      <c r="L63" s="5"/>
      <c r="M63" s="5"/>
      <c r="N63" s="5"/>
      <c r="O63" s="5"/>
      <c r="P63" s="5"/>
      <c r="Q63" s="5"/>
    </row>
    <row r="64" spans="1:17">
      <c r="A64" s="320"/>
      <c r="B64" s="321"/>
      <c r="C64" s="333"/>
      <c r="D64" s="334"/>
      <c r="E64" s="323"/>
      <c r="G64" s="145" t="s">
        <v>3</v>
      </c>
      <c r="H64" s="155">
        <f>B26</f>
        <v>99</v>
      </c>
      <c r="I64" s="331"/>
      <c r="J64" s="332"/>
      <c r="K64" s="148"/>
      <c r="L64" s="5"/>
      <c r="M64" s="5"/>
      <c r="N64" s="5"/>
      <c r="O64" s="5"/>
      <c r="P64" s="5"/>
      <c r="Q64" s="5"/>
    </row>
    <row r="65" spans="1:18">
      <c r="A65" s="320"/>
      <c r="B65" s="321"/>
      <c r="C65" s="333"/>
      <c r="D65" s="334"/>
      <c r="E65" s="323"/>
      <c r="G65" s="36" t="s">
        <v>46</v>
      </c>
      <c r="H65" s="123">
        <f>(H64/G7)/(28.4*H63*SQRT(H62))</f>
        <v>2.1270953095149818</v>
      </c>
      <c r="I65" s="331" t="s">
        <v>78</v>
      </c>
      <c r="J65" s="332"/>
      <c r="K65" s="148"/>
      <c r="L65" s="5"/>
      <c r="M65" s="5"/>
      <c r="N65" s="5"/>
      <c r="O65" s="5"/>
      <c r="P65" s="5"/>
      <c r="Q65" s="5"/>
    </row>
    <row r="66" spans="1:18">
      <c r="A66" s="320"/>
      <c r="B66" s="321"/>
      <c r="C66" s="333"/>
      <c r="D66" s="334"/>
      <c r="E66" s="323"/>
      <c r="F66" s="259" t="s">
        <v>10</v>
      </c>
      <c r="G66" s="36" t="s">
        <v>46</v>
      </c>
      <c r="H66" s="157">
        <f>IF(H65&gt;0.673,IF((H65-0.055*(3+$H61))/POWER(H65,2)&gt;1,1,(H65-0.055*(3+$H61))/POWER(H65,2)),1)</f>
        <v>0.42150089211650682</v>
      </c>
      <c r="I66" s="331" t="s">
        <v>78</v>
      </c>
      <c r="J66" s="332"/>
      <c r="K66" s="148"/>
      <c r="L66" s="5"/>
      <c r="M66" s="5"/>
      <c r="N66" s="5"/>
      <c r="O66" s="5"/>
      <c r="P66" s="5"/>
      <c r="Q66" s="5"/>
    </row>
    <row r="67" spans="1:18" ht="14.25" customHeight="1">
      <c r="A67" s="322"/>
      <c r="B67" s="323"/>
      <c r="C67" s="324" t="s">
        <v>47</v>
      </c>
      <c r="D67" s="314"/>
      <c r="E67" s="325"/>
      <c r="F67" s="260" t="s">
        <v>87</v>
      </c>
      <c r="G67" s="145" t="s">
        <v>3</v>
      </c>
      <c r="H67" s="134">
        <f>H64*H66</f>
        <v>41.728588319534175</v>
      </c>
      <c r="I67" s="331" t="s">
        <v>104</v>
      </c>
      <c r="J67" s="332"/>
      <c r="K67" s="149"/>
      <c r="L67" s="5"/>
      <c r="M67" s="5"/>
      <c r="N67" s="5"/>
      <c r="O67" s="5"/>
      <c r="P67" s="5"/>
      <c r="Q67" s="5"/>
    </row>
    <row r="68" spans="1:18" ht="18.75">
      <c r="A68" s="322"/>
      <c r="B68" s="323"/>
      <c r="C68" s="333"/>
      <c r="D68" s="334"/>
      <c r="E68" s="323"/>
      <c r="F68" s="258" t="s">
        <v>208</v>
      </c>
      <c r="G68" s="145" t="s">
        <v>3</v>
      </c>
      <c r="H68" s="123">
        <f>H67-H69</f>
        <v>20.864294159767088</v>
      </c>
      <c r="I68" s="331" t="s">
        <v>104</v>
      </c>
      <c r="J68" s="332"/>
      <c r="K68" s="149"/>
      <c r="L68" s="5"/>
      <c r="M68" s="5"/>
      <c r="N68" s="5"/>
      <c r="O68" s="5"/>
      <c r="P68" s="5"/>
      <c r="Q68" s="5"/>
    </row>
    <row r="69" spans="1:18" ht="18.75" customHeight="1">
      <c r="A69" s="322"/>
      <c r="B69" s="323"/>
      <c r="C69" s="333"/>
      <c r="D69" s="334"/>
      <c r="E69" s="323"/>
      <c r="F69" s="258" t="s">
        <v>209</v>
      </c>
      <c r="G69" s="145" t="s">
        <v>3</v>
      </c>
      <c r="H69" s="123">
        <f>H67*0.5</f>
        <v>20.864294159767088</v>
      </c>
      <c r="I69" s="331" t="s">
        <v>104</v>
      </c>
      <c r="J69" s="332"/>
      <c r="K69" s="149"/>
      <c r="L69" s="5"/>
      <c r="M69" s="5"/>
      <c r="N69" s="5"/>
      <c r="O69" s="5"/>
      <c r="P69" s="5"/>
      <c r="Q69" s="5"/>
    </row>
    <row r="70" spans="1:18" ht="16.5" customHeight="1">
      <c r="A70" s="322"/>
      <c r="B70" s="323"/>
      <c r="C70" s="324" t="s">
        <v>86</v>
      </c>
      <c r="D70" s="314"/>
      <c r="E70" s="325"/>
      <c r="F70" s="258" t="s">
        <v>210</v>
      </c>
      <c r="G70" s="145" t="s">
        <v>3</v>
      </c>
      <c r="H70" s="134">
        <f>H68</f>
        <v>20.864294159767088</v>
      </c>
      <c r="I70" s="149"/>
      <c r="J70" s="149"/>
      <c r="K70" s="279" t="s">
        <v>267</v>
      </c>
      <c r="L70" s="5"/>
      <c r="M70" s="5"/>
      <c r="N70" s="5"/>
    </row>
    <row r="71" spans="1:18" ht="14.25" customHeight="1">
      <c r="A71" s="322"/>
      <c r="B71" s="323"/>
      <c r="C71" s="324" t="s">
        <v>86</v>
      </c>
      <c r="D71" s="314"/>
      <c r="E71" s="325"/>
      <c r="F71" s="258" t="s">
        <v>211</v>
      </c>
      <c r="G71" s="145" t="s">
        <v>3</v>
      </c>
      <c r="H71" s="134">
        <f>H69</f>
        <v>20.864294159767088</v>
      </c>
      <c r="I71" s="149"/>
      <c r="J71" s="149"/>
      <c r="K71" s="279" t="s">
        <v>268</v>
      </c>
      <c r="L71" s="5"/>
      <c r="M71" s="5"/>
      <c r="N71" s="5"/>
    </row>
    <row r="72" spans="1:18" ht="15" customHeight="1">
      <c r="A72" s="322"/>
      <c r="B72" s="323"/>
      <c r="C72" s="324" t="s">
        <v>86</v>
      </c>
      <c r="D72" s="314"/>
      <c r="E72" s="325"/>
      <c r="F72" s="258" t="s">
        <v>212</v>
      </c>
      <c r="G72" s="145" t="s">
        <v>3</v>
      </c>
      <c r="H72" s="134">
        <f>H70+$B$15</f>
        <v>20.864294159767088</v>
      </c>
      <c r="I72" s="149"/>
      <c r="J72" s="149"/>
      <c r="K72" s="279" t="s">
        <v>263</v>
      </c>
      <c r="L72" s="5"/>
      <c r="M72" s="5"/>
      <c r="N72" s="5"/>
    </row>
    <row r="73" spans="1:18" ht="15.75" customHeight="1">
      <c r="A73" s="322"/>
      <c r="B73" s="323"/>
      <c r="C73" s="324" t="s">
        <v>86</v>
      </c>
      <c r="D73" s="314"/>
      <c r="E73" s="325"/>
      <c r="F73" s="258" t="s">
        <v>213</v>
      </c>
      <c r="G73" s="145" t="s">
        <v>3</v>
      </c>
      <c r="H73" s="134">
        <f>H71+$B$15</f>
        <v>20.864294159767088</v>
      </c>
      <c r="I73" s="149"/>
      <c r="J73" s="149"/>
      <c r="K73" s="279" t="s">
        <v>264</v>
      </c>
      <c r="L73" s="5"/>
      <c r="M73" s="5"/>
      <c r="N73" s="5"/>
    </row>
    <row r="74" spans="1:18" ht="17.25" customHeight="1">
      <c r="A74" s="322"/>
      <c r="B74" s="323"/>
      <c r="C74" s="324" t="s">
        <v>86</v>
      </c>
      <c r="D74" s="314"/>
      <c r="E74" s="325"/>
      <c r="F74" s="259" t="s">
        <v>214</v>
      </c>
      <c r="G74" s="145" t="s">
        <v>3</v>
      </c>
      <c r="H74" s="134">
        <f>H72-$B$14</f>
        <v>20.864294159767088</v>
      </c>
      <c r="I74" s="149"/>
      <c r="J74" s="149"/>
      <c r="K74" s="279" t="s">
        <v>265</v>
      </c>
      <c r="L74" s="5"/>
      <c r="M74" s="5"/>
      <c r="N74" s="5"/>
    </row>
    <row r="75" spans="1:18" ht="18" customHeight="1" thickBot="1">
      <c r="A75" s="350"/>
      <c r="B75" s="351"/>
      <c r="C75" s="328" t="s">
        <v>86</v>
      </c>
      <c r="D75" s="329"/>
      <c r="E75" s="330"/>
      <c r="F75" s="289" t="s">
        <v>215</v>
      </c>
      <c r="G75" s="181" t="s">
        <v>3</v>
      </c>
      <c r="H75" s="290">
        <f>H73-$B$14</f>
        <v>20.864294159767088</v>
      </c>
      <c r="I75" s="149"/>
      <c r="J75" s="149"/>
      <c r="K75" s="279" t="s">
        <v>266</v>
      </c>
      <c r="L75" s="5"/>
      <c r="M75" s="5"/>
      <c r="N75" s="5"/>
    </row>
    <row r="76" spans="1:18" ht="16.5" customHeight="1" thickBot="1">
      <c r="A76" s="267"/>
      <c r="B76" s="270"/>
      <c r="C76" s="266"/>
      <c r="D76" s="266"/>
      <c r="E76" s="266"/>
      <c r="F76" s="263"/>
      <c r="G76" s="266"/>
      <c r="H76" s="288"/>
      <c r="I76" s="149"/>
      <c r="J76" s="149"/>
      <c r="K76" s="279"/>
      <c r="L76" s="5"/>
      <c r="M76" s="5"/>
      <c r="N76" s="5"/>
    </row>
    <row r="77" spans="1:18" ht="17.25" customHeight="1" thickBot="1">
      <c r="A77" s="255" t="s">
        <v>293</v>
      </c>
      <c r="B77" s="251"/>
      <c r="C77" s="252"/>
      <c r="D77" s="252"/>
      <c r="E77" s="252"/>
      <c r="F77" s="49"/>
      <c r="G77" s="253"/>
      <c r="H77" s="254"/>
      <c r="I77" s="147"/>
      <c r="J77" s="147"/>
      <c r="K77" s="279"/>
      <c r="L77" s="246"/>
      <c r="M77" s="246"/>
      <c r="O77" s="246"/>
      <c r="P77" s="247"/>
      <c r="Q77" s="246"/>
      <c r="R77" s="246"/>
    </row>
    <row r="78" spans="1:18" ht="18.75" customHeight="1">
      <c r="A78" s="311" t="s">
        <v>53</v>
      </c>
      <c r="B78" s="352"/>
      <c r="C78" s="324" t="s">
        <v>48</v>
      </c>
      <c r="D78" s="314"/>
      <c r="E78" s="325"/>
      <c r="F78" s="145" t="s">
        <v>173</v>
      </c>
      <c r="G78" s="249" t="s">
        <v>76</v>
      </c>
      <c r="H78" s="71">
        <f>((H74+H75+2*(D25)+4*$B$16+2*F25)*$G$7)</f>
        <v>178.72858831953417</v>
      </c>
      <c r="I78" s="50"/>
      <c r="J78" s="50"/>
      <c r="K78" s="279" t="s">
        <v>269</v>
      </c>
      <c r="L78" s="112"/>
      <c r="M78" s="103"/>
      <c r="N78" s="103"/>
      <c r="O78" s="112"/>
      <c r="P78" s="2"/>
      <c r="Q78" s="2"/>
      <c r="R78" s="2"/>
    </row>
    <row r="79" spans="1:18" ht="18.75" customHeight="1" thickBot="1">
      <c r="A79" s="326" t="s">
        <v>49</v>
      </c>
      <c r="B79" s="327"/>
      <c r="C79" s="328" t="s">
        <v>82</v>
      </c>
      <c r="D79" s="329"/>
      <c r="E79" s="330"/>
      <c r="F79" s="181" t="s">
        <v>155</v>
      </c>
      <c r="G79" s="181" t="s">
        <v>3</v>
      </c>
      <c r="H79" s="250">
        <f>$G$7/H78*(2*D25*(0.5*D25+B14)+2*F25*D24+2*B16*(B14-B17)+2*B16*(D24-(B14-B17)))</f>
        <v>24.125966867096434</v>
      </c>
      <c r="I79" s="147"/>
      <c r="J79" s="147"/>
      <c r="K79" s="282" t="s">
        <v>270</v>
      </c>
      <c r="L79" s="112"/>
      <c r="M79" s="2"/>
      <c r="N79" s="2"/>
      <c r="O79" s="2"/>
      <c r="P79" s="2"/>
      <c r="Q79" s="2"/>
      <c r="R79" s="2"/>
    </row>
    <row r="80" spans="1:18" ht="27" customHeight="1" thickBot="1">
      <c r="A80" s="112"/>
      <c r="B80" s="112"/>
      <c r="C80" s="112"/>
      <c r="D80" s="112"/>
      <c r="E80" s="112"/>
      <c r="F80" s="2"/>
      <c r="I80" s="2"/>
      <c r="J80" s="117"/>
      <c r="K80" s="117"/>
      <c r="L80" s="5"/>
      <c r="M80" s="8"/>
      <c r="N80" s="158"/>
      <c r="O80" s="8"/>
      <c r="P80" s="8"/>
      <c r="Q80" s="8"/>
    </row>
    <row r="81" spans="1:17" ht="16.5" customHeight="1" thickBot="1">
      <c r="A81" s="286" t="s">
        <v>259</v>
      </c>
      <c r="B81" s="44"/>
      <c r="C81" s="49"/>
      <c r="D81" s="44"/>
      <c r="E81" s="44"/>
      <c r="F81" s="49"/>
      <c r="G81" s="51"/>
      <c r="H81" s="45"/>
      <c r="I81" s="8"/>
      <c r="J81" s="8"/>
      <c r="K81" s="8"/>
      <c r="L81" s="8"/>
      <c r="M81" s="5"/>
      <c r="N81" s="5"/>
      <c r="O81" s="6"/>
      <c r="P81" s="2"/>
      <c r="Q81" s="2"/>
    </row>
    <row r="82" spans="1:17" ht="22.5" customHeight="1">
      <c r="A82" s="88" t="s">
        <v>52</v>
      </c>
      <c r="B82" s="133"/>
      <c r="C82" s="347" t="s">
        <v>51</v>
      </c>
      <c r="D82" s="348"/>
      <c r="E82" s="349"/>
      <c r="F82" s="89" t="s">
        <v>50</v>
      </c>
      <c r="G82" s="89" t="s">
        <v>43</v>
      </c>
      <c r="H82" s="151" t="s">
        <v>224</v>
      </c>
      <c r="I82" s="29"/>
      <c r="J82" s="29"/>
      <c r="K82" s="29"/>
      <c r="L82" s="5"/>
      <c r="M82" s="5"/>
      <c r="N82" s="5"/>
    </row>
    <row r="83" spans="1:17" ht="18" customHeight="1">
      <c r="A83" s="342" t="s">
        <v>225</v>
      </c>
      <c r="B83" s="343"/>
      <c r="C83" s="344" t="s">
        <v>83</v>
      </c>
      <c r="D83" s="345"/>
      <c r="E83" s="346"/>
      <c r="F83" s="256" t="s">
        <v>11</v>
      </c>
      <c r="G83" s="116" t="s">
        <v>46</v>
      </c>
      <c r="H83" s="156">
        <f>H92/-H94</f>
        <v>-1.0310066854492519</v>
      </c>
      <c r="I83" s="331" t="s">
        <v>104</v>
      </c>
      <c r="J83" s="332"/>
      <c r="K83" s="5"/>
      <c r="L83" s="279" t="s">
        <v>275</v>
      </c>
      <c r="M83" s="281"/>
    </row>
    <row r="84" spans="1:17" ht="18" customHeight="1">
      <c r="A84" s="355"/>
      <c r="B84" s="356"/>
      <c r="C84" s="354" t="s">
        <v>221</v>
      </c>
      <c r="D84" s="334"/>
      <c r="E84" s="323"/>
      <c r="F84" s="257" t="s">
        <v>172</v>
      </c>
      <c r="G84" s="36" t="s">
        <v>46</v>
      </c>
      <c r="H84" s="114">
        <f>8.2/(1.05+H83)</f>
        <v>431.73085867084734</v>
      </c>
      <c r="I84" s="331" t="s">
        <v>104</v>
      </c>
      <c r="J84" s="332"/>
      <c r="K84" s="5"/>
      <c r="L84" s="279"/>
      <c r="M84" s="281"/>
    </row>
    <row r="85" spans="1:17" ht="18" customHeight="1">
      <c r="A85" s="309"/>
      <c r="B85" s="353"/>
      <c r="C85" s="354" t="s">
        <v>222</v>
      </c>
      <c r="D85" s="334"/>
      <c r="E85" s="323"/>
      <c r="F85" s="257" t="s">
        <v>172</v>
      </c>
      <c r="G85" s="36" t="s">
        <v>46</v>
      </c>
      <c r="H85" s="114">
        <f>IF(H83=-1,23.9,7.81-6.29*H83+9.78*H83^2)</f>
        <v>24.690925453089289</v>
      </c>
      <c r="I85" s="331" t="s">
        <v>104</v>
      </c>
      <c r="J85" s="332"/>
      <c r="K85" s="5"/>
      <c r="L85" s="279"/>
      <c r="M85" s="281"/>
    </row>
    <row r="86" spans="1:17" ht="18" customHeight="1">
      <c r="A86" s="309"/>
      <c r="B86" s="353"/>
      <c r="C86" s="357" t="s">
        <v>223</v>
      </c>
      <c r="D86" s="358"/>
      <c r="E86" s="359"/>
      <c r="F86" s="257" t="s">
        <v>172</v>
      </c>
      <c r="G86" s="36" t="s">
        <v>46</v>
      </c>
      <c r="H86" s="114">
        <f>5.98*(1-H83)^2</f>
        <v>24.667429174910545</v>
      </c>
      <c r="I86" s="331" t="s">
        <v>104</v>
      </c>
      <c r="J86" s="332"/>
      <c r="K86" s="5"/>
      <c r="L86" s="279"/>
      <c r="M86" s="281"/>
    </row>
    <row r="87" spans="1:17" ht="18" customHeight="1">
      <c r="A87" s="309"/>
      <c r="B87" s="353"/>
      <c r="C87" s="324" t="s">
        <v>84</v>
      </c>
      <c r="D87" s="314"/>
      <c r="E87" s="325"/>
      <c r="F87" s="257" t="s">
        <v>172</v>
      </c>
      <c r="G87" s="36" t="s">
        <v>46</v>
      </c>
      <c r="H87" s="153">
        <f>IF(H83&gt;0,H84,IF(H83=0,H84,IF(H83&gt;-1,H85,IF(H83=-1,H85,IF(H83&gt;-3,H86,"Spanningsverhouding niet mogelijk")))))</f>
        <v>24.667429174910545</v>
      </c>
      <c r="I87" s="331" t="s">
        <v>104</v>
      </c>
      <c r="J87" s="332"/>
      <c r="K87" s="5"/>
      <c r="L87" s="279"/>
      <c r="M87" s="281"/>
    </row>
    <row r="88" spans="1:17" ht="18" customHeight="1">
      <c r="A88" s="309"/>
      <c r="B88" s="353"/>
      <c r="C88" s="333"/>
      <c r="D88" s="334"/>
      <c r="E88" s="323"/>
      <c r="F88" s="258" t="s">
        <v>9</v>
      </c>
      <c r="G88" s="36" t="s">
        <v>46</v>
      </c>
      <c r="H88" s="157">
        <f>SQRT(235/$B$7)</f>
        <v>0.81940745141142779</v>
      </c>
      <c r="I88" s="331" t="s">
        <v>78</v>
      </c>
      <c r="J88" s="332"/>
      <c r="K88" s="5"/>
      <c r="L88" s="279"/>
      <c r="M88" s="281"/>
    </row>
    <row r="89" spans="1:17" ht="18" customHeight="1">
      <c r="A89" s="309"/>
      <c r="B89" s="353"/>
      <c r="C89" s="333"/>
      <c r="D89" s="334"/>
      <c r="E89" s="323"/>
      <c r="G89" s="145" t="s">
        <v>3</v>
      </c>
      <c r="H89" s="123">
        <f>$D$26</f>
        <v>49</v>
      </c>
      <c r="I89" s="331"/>
      <c r="J89" s="332"/>
      <c r="K89" s="5"/>
      <c r="L89" s="279"/>
      <c r="M89" s="281"/>
    </row>
    <row r="90" spans="1:17" ht="18" customHeight="1">
      <c r="A90" s="322"/>
      <c r="B90" s="323"/>
      <c r="C90" s="324" t="s">
        <v>45</v>
      </c>
      <c r="D90" s="314"/>
      <c r="E90" s="325"/>
      <c r="G90" s="36" t="s">
        <v>46</v>
      </c>
      <c r="H90" s="157">
        <f>(H89/$G$7)/(28.4*H88*SQRT(H87))</f>
        <v>0.42395121676703884</v>
      </c>
      <c r="I90" s="331" t="s">
        <v>78</v>
      </c>
      <c r="J90" s="332"/>
      <c r="K90" s="122"/>
      <c r="L90" s="281"/>
      <c r="M90" s="281"/>
    </row>
    <row r="91" spans="1:17" ht="18" customHeight="1">
      <c r="A91" s="361"/>
      <c r="B91" s="325"/>
      <c r="C91" s="324" t="s">
        <v>85</v>
      </c>
      <c r="D91" s="314"/>
      <c r="E91" s="325"/>
      <c r="F91" s="259" t="s">
        <v>10</v>
      </c>
      <c r="G91" s="36" t="s">
        <v>46</v>
      </c>
      <c r="H91" s="157">
        <f>IF(H90&gt;0.673,IF((H90-0.055*(3+$H83))/POWER(H90,2)&gt;1,1,(H90-0.055*(3+$H83))/POWER(H90,2)),1)</f>
        <v>1</v>
      </c>
      <c r="I91" s="331" t="s">
        <v>78</v>
      </c>
      <c r="J91" s="332"/>
      <c r="L91" s="281"/>
      <c r="M91" s="281"/>
    </row>
    <row r="92" spans="1:17" ht="18" customHeight="1">
      <c r="A92" s="322"/>
      <c r="B92" s="323"/>
      <c r="C92" s="360" t="s">
        <v>260</v>
      </c>
      <c r="D92" s="314"/>
      <c r="E92" s="325"/>
      <c r="F92" s="258" t="s">
        <v>88</v>
      </c>
      <c r="G92" s="145" t="s">
        <v>3</v>
      </c>
      <c r="H92" s="123">
        <f>H89-H94</f>
        <v>24.874033132903566</v>
      </c>
      <c r="I92" s="331" t="s">
        <v>104</v>
      </c>
      <c r="J92" s="332"/>
      <c r="L92" s="279" t="s">
        <v>271</v>
      </c>
      <c r="M92" s="281"/>
    </row>
    <row r="93" spans="1:17" ht="18" customHeight="1">
      <c r="A93" s="322"/>
      <c r="B93" s="323"/>
      <c r="C93" s="324"/>
      <c r="D93" s="314"/>
      <c r="E93" s="325"/>
      <c r="F93" s="258" t="s">
        <v>174</v>
      </c>
      <c r="G93" s="145" t="s">
        <v>3</v>
      </c>
      <c r="H93" s="123">
        <f>H92+$B$15-$B$14</f>
        <v>24.874033132903566</v>
      </c>
      <c r="I93" s="331"/>
      <c r="J93" s="332"/>
      <c r="L93" s="279" t="s">
        <v>276</v>
      </c>
      <c r="M93" s="281"/>
    </row>
    <row r="94" spans="1:17" ht="18" customHeight="1">
      <c r="A94" s="322"/>
      <c r="B94" s="323"/>
      <c r="C94" s="360" t="s">
        <v>261</v>
      </c>
      <c r="D94" s="314"/>
      <c r="E94" s="325"/>
      <c r="F94" s="258" t="s">
        <v>89</v>
      </c>
      <c r="G94" s="145" t="s">
        <v>3</v>
      </c>
      <c r="H94" s="123">
        <f>H79-$B$15</f>
        <v>24.125966867096434</v>
      </c>
      <c r="I94" s="331" t="s">
        <v>104</v>
      </c>
      <c r="J94" s="332"/>
      <c r="L94" s="279" t="s">
        <v>272</v>
      </c>
      <c r="M94" s="281"/>
    </row>
    <row r="95" spans="1:17" ht="18" customHeight="1">
      <c r="A95" s="322"/>
      <c r="B95" s="323"/>
      <c r="C95" s="324" t="s">
        <v>47</v>
      </c>
      <c r="D95" s="314"/>
      <c r="E95" s="325"/>
      <c r="F95" s="258" t="s">
        <v>27</v>
      </c>
      <c r="G95" s="145" t="s">
        <v>3</v>
      </c>
      <c r="H95" s="123">
        <f>H94*H91</f>
        <v>24.125966867096434</v>
      </c>
      <c r="I95" s="331" t="s">
        <v>104</v>
      </c>
      <c r="J95" s="332"/>
      <c r="L95" s="279" t="s">
        <v>273</v>
      </c>
      <c r="M95" s="281"/>
    </row>
    <row r="96" spans="1:17" ht="18" customHeight="1">
      <c r="A96" s="322"/>
      <c r="B96" s="323"/>
      <c r="C96" s="324"/>
      <c r="D96" s="314"/>
      <c r="E96" s="325"/>
      <c r="F96" s="258" t="s">
        <v>217</v>
      </c>
      <c r="G96" s="145" t="s">
        <v>3</v>
      </c>
      <c r="H96" s="123">
        <f>H95-H97</f>
        <v>9.6503867468385742</v>
      </c>
      <c r="I96" s="135"/>
      <c r="J96" s="135"/>
      <c r="L96" s="281"/>
      <c r="M96" s="281"/>
    </row>
    <row r="97" spans="1:23" ht="18" customHeight="1">
      <c r="A97" s="322"/>
      <c r="B97" s="323"/>
      <c r="C97" s="324"/>
      <c r="D97" s="314"/>
      <c r="E97" s="325"/>
      <c r="F97" s="258" t="s">
        <v>216</v>
      </c>
      <c r="G97" s="145" t="s">
        <v>3</v>
      </c>
      <c r="H97" s="123">
        <f>H95*0.6</f>
        <v>14.47558012025786</v>
      </c>
      <c r="I97" s="135"/>
      <c r="J97" s="135"/>
      <c r="L97" s="281"/>
      <c r="M97" s="281"/>
    </row>
    <row r="98" spans="1:23" ht="18" customHeight="1">
      <c r="A98" s="322"/>
      <c r="B98" s="323"/>
      <c r="C98" s="324" t="s">
        <v>86</v>
      </c>
      <c r="D98" s="314"/>
      <c r="E98" s="325"/>
      <c r="F98" s="258" t="s">
        <v>218</v>
      </c>
      <c r="G98" s="145" t="s">
        <v>3</v>
      </c>
      <c r="H98" s="123">
        <f>H96</f>
        <v>9.6503867468385742</v>
      </c>
      <c r="I98" s="135"/>
      <c r="J98" s="135"/>
      <c r="L98" s="362" t="s">
        <v>279</v>
      </c>
      <c r="M98" s="362"/>
      <c r="N98" s="56"/>
      <c r="O98" s="56"/>
      <c r="P98" s="56"/>
      <c r="Q98" s="56"/>
      <c r="R98" s="56"/>
      <c r="S98" s="56"/>
      <c r="T98" s="56"/>
      <c r="U98" s="56"/>
    </row>
    <row r="99" spans="1:23" ht="18" customHeight="1">
      <c r="A99" s="322"/>
      <c r="B99" s="323"/>
      <c r="C99" s="324" t="s">
        <v>86</v>
      </c>
      <c r="D99" s="314"/>
      <c r="E99" s="325"/>
      <c r="F99" s="258" t="s">
        <v>219</v>
      </c>
      <c r="G99" s="145" t="s">
        <v>3</v>
      </c>
      <c r="H99" s="123">
        <f>H97</f>
        <v>14.47558012025786</v>
      </c>
      <c r="I99" s="135"/>
      <c r="J99" s="135"/>
      <c r="L99" s="362" t="s">
        <v>280</v>
      </c>
      <c r="M99" s="362"/>
      <c r="N99" s="56"/>
      <c r="O99" s="56"/>
      <c r="P99" s="56"/>
      <c r="Q99" s="56"/>
      <c r="R99" s="56"/>
      <c r="S99" s="56"/>
      <c r="T99" s="56"/>
      <c r="U99" s="56"/>
    </row>
    <row r="100" spans="1:23" ht="18" customHeight="1">
      <c r="A100" s="322"/>
      <c r="B100" s="323"/>
      <c r="C100" s="324" t="s">
        <v>86</v>
      </c>
      <c r="D100" s="314"/>
      <c r="E100" s="325"/>
      <c r="F100" s="258" t="s">
        <v>220</v>
      </c>
      <c r="G100" s="145" t="s">
        <v>3</v>
      </c>
      <c r="H100" s="123">
        <f>H98+$B$15</f>
        <v>9.6503867468385742</v>
      </c>
      <c r="I100" s="135"/>
      <c r="J100" s="135"/>
      <c r="L100" s="362" t="s">
        <v>274</v>
      </c>
      <c r="M100" s="362"/>
      <c r="N100" s="56"/>
      <c r="O100" s="56"/>
      <c r="P100" s="56"/>
      <c r="Q100" s="56"/>
      <c r="R100" s="56"/>
      <c r="S100" s="56"/>
      <c r="T100" s="56"/>
      <c r="U100" s="56"/>
    </row>
    <row r="101" spans="1:23" ht="18" customHeight="1">
      <c r="A101" s="361"/>
      <c r="B101" s="325"/>
      <c r="C101" s="324" t="s">
        <v>86</v>
      </c>
      <c r="D101" s="314"/>
      <c r="E101" s="325"/>
      <c r="F101" s="259" t="s">
        <v>183</v>
      </c>
      <c r="G101" s="145" t="s">
        <v>3</v>
      </c>
      <c r="H101" s="123">
        <f>H100-$B$14</f>
        <v>9.6503867468385742</v>
      </c>
      <c r="I101" s="135"/>
      <c r="J101" s="135"/>
      <c r="L101" s="362" t="s">
        <v>278</v>
      </c>
      <c r="M101" s="362"/>
      <c r="N101" s="56"/>
      <c r="O101" s="56"/>
      <c r="P101" s="56"/>
      <c r="Q101" s="56"/>
      <c r="R101" s="56"/>
      <c r="S101" s="56"/>
      <c r="T101" s="56"/>
      <c r="U101" s="56"/>
    </row>
    <row r="102" spans="1:23" ht="18" customHeight="1">
      <c r="A102" s="364"/>
      <c r="B102" s="365"/>
      <c r="C102" s="366" t="s">
        <v>86</v>
      </c>
      <c r="D102" s="367"/>
      <c r="E102" s="365"/>
      <c r="F102" s="261" t="s">
        <v>184</v>
      </c>
      <c r="G102" s="180" t="s">
        <v>3</v>
      </c>
      <c r="H102" s="205">
        <f>$D$26-H92-H98</f>
        <v>14.47558012025786</v>
      </c>
      <c r="I102" s="135"/>
      <c r="J102" s="135"/>
      <c r="L102" s="362" t="s">
        <v>277</v>
      </c>
      <c r="M102" s="362"/>
      <c r="N102" s="56"/>
      <c r="O102" s="56"/>
      <c r="P102" s="56"/>
      <c r="Q102" s="56"/>
      <c r="R102" s="56"/>
      <c r="S102" s="56"/>
      <c r="T102" s="56"/>
      <c r="U102" s="56"/>
    </row>
    <row r="103" spans="1:23" ht="18" customHeight="1" thickBot="1">
      <c r="A103" s="291" t="s">
        <v>262</v>
      </c>
      <c r="B103" s="269"/>
      <c r="C103" s="292" t="s">
        <v>226</v>
      </c>
      <c r="D103" s="268"/>
      <c r="E103" s="268"/>
      <c r="F103" s="293"/>
      <c r="G103" s="268"/>
      <c r="H103" s="294"/>
      <c r="I103" s="135"/>
      <c r="J103" s="135"/>
      <c r="L103" s="248"/>
      <c r="M103" s="248"/>
      <c r="N103" s="56"/>
      <c r="O103" s="56"/>
      <c r="P103" s="56"/>
      <c r="Q103" s="56"/>
      <c r="R103" s="56"/>
      <c r="S103" s="56"/>
      <c r="T103" s="56"/>
      <c r="U103" s="56"/>
    </row>
    <row r="104" spans="1:23" ht="18" customHeight="1" thickBot="1">
      <c r="A104" s="271"/>
      <c r="B104" s="266"/>
      <c r="C104" s="187"/>
      <c r="D104" s="266"/>
      <c r="E104" s="266"/>
      <c r="F104" s="263"/>
      <c r="G104" s="266"/>
      <c r="H104" s="135"/>
      <c r="I104" s="135"/>
      <c r="J104" s="135"/>
      <c r="L104" s="248"/>
      <c r="M104" s="248"/>
      <c r="N104" s="56"/>
      <c r="O104" s="56"/>
      <c r="P104" s="56"/>
      <c r="Q104" s="56"/>
      <c r="R104" s="56"/>
      <c r="S104" s="56"/>
      <c r="T104" s="56"/>
      <c r="U104" s="56"/>
    </row>
    <row r="105" spans="1:23" ht="18" customHeight="1" thickBot="1">
      <c r="A105" s="295" t="s">
        <v>291</v>
      </c>
      <c r="B105" s="252"/>
      <c r="C105" s="252"/>
      <c r="D105" s="252"/>
      <c r="E105" s="252"/>
      <c r="F105" s="264"/>
      <c r="G105" s="252"/>
      <c r="H105" s="265"/>
      <c r="I105" s="135"/>
      <c r="J105" s="135"/>
      <c r="K105" s="135"/>
      <c r="L105" s="5"/>
      <c r="N105" s="248"/>
      <c r="O105" s="248"/>
      <c r="P105" s="56"/>
      <c r="Q105" s="56"/>
      <c r="R105" s="56"/>
      <c r="S105" s="56"/>
      <c r="T105" s="56"/>
      <c r="U105" s="56"/>
      <c r="V105" s="56"/>
      <c r="W105" s="56"/>
    </row>
    <row r="106" spans="1:23" ht="18" customHeight="1">
      <c r="A106" s="311" t="s">
        <v>53</v>
      </c>
      <c r="B106" s="352"/>
      <c r="C106" s="324" t="s">
        <v>48</v>
      </c>
      <c r="D106" s="314"/>
      <c r="E106" s="325"/>
      <c r="F106" s="259" t="s">
        <v>173</v>
      </c>
      <c r="G106" s="249" t="s">
        <v>76</v>
      </c>
      <c r="H106" s="71">
        <f>((H74+H75+2*(H101+H102+H93)+4*$B$16+2*F25)*$G$7)</f>
        <v>178.72858831953417</v>
      </c>
      <c r="I106" s="50"/>
      <c r="J106" s="50"/>
      <c r="K106" s="50"/>
      <c r="L106" s="362" t="s">
        <v>286</v>
      </c>
      <c r="M106" s="362"/>
      <c r="N106" s="363"/>
      <c r="O106" s="363"/>
      <c r="P106" s="363"/>
      <c r="Q106" s="283"/>
      <c r="R106" s="283"/>
      <c r="S106" s="283"/>
      <c r="T106" s="283"/>
      <c r="U106" s="283"/>
    </row>
    <row r="107" spans="1:23" ht="18" customHeight="1">
      <c r="A107" s="311" t="s">
        <v>49</v>
      </c>
      <c r="B107" s="352"/>
      <c r="C107" s="324" t="s">
        <v>82</v>
      </c>
      <c r="D107" s="314"/>
      <c r="E107" s="325"/>
      <c r="F107" s="259" t="s">
        <v>154</v>
      </c>
      <c r="G107" s="145" t="s">
        <v>3</v>
      </c>
      <c r="H107" s="78">
        <f>$G$7/H106*(2*H101*(0.5*H101+$B$14)+2*(H102+H93)*(0.5*(H102+H93)+($D$25-(H102+H93))+$B$14)+2*F25*$D$24+2*$B$16*($B$14-$B$17)+2*$B$16*($D$24-($B$14-$B$17)))</f>
        <v>24.125966867096434</v>
      </c>
      <c r="I107" s="147"/>
      <c r="J107" s="147"/>
      <c r="K107" s="147"/>
      <c r="L107" s="284" t="s">
        <v>287</v>
      </c>
      <c r="M107" s="284"/>
      <c r="N107" s="285"/>
      <c r="O107" s="285"/>
      <c r="P107" s="285"/>
      <c r="Q107" s="285"/>
      <c r="R107" s="285"/>
      <c r="S107" s="285"/>
      <c r="T107" s="285"/>
      <c r="U107" s="283"/>
    </row>
    <row r="108" spans="1:23" ht="18" customHeight="1">
      <c r="A108" s="146"/>
      <c r="B108" s="128"/>
      <c r="C108" s="368" t="s">
        <v>90</v>
      </c>
      <c r="D108" s="369"/>
      <c r="E108" s="370"/>
      <c r="F108" s="258" t="s">
        <v>96</v>
      </c>
      <c r="G108" s="168" t="s">
        <v>19</v>
      </c>
      <c r="H108" s="142">
        <f>(H74+H75)*$G$7*H107^2</f>
        <v>24288.637144623644</v>
      </c>
      <c r="I108" s="141"/>
      <c r="J108" s="182"/>
      <c r="K108" s="141"/>
      <c r="L108" s="362" t="s">
        <v>281</v>
      </c>
      <c r="M108" s="362"/>
      <c r="N108" s="363"/>
      <c r="O108" s="283"/>
      <c r="P108" s="283"/>
      <c r="Q108" s="283"/>
      <c r="R108" s="283"/>
      <c r="S108" s="283"/>
      <c r="T108" s="283"/>
      <c r="U108" s="283"/>
    </row>
    <row r="109" spans="1:23" ht="18" customHeight="1">
      <c r="A109" s="146"/>
      <c r="B109" s="128"/>
      <c r="C109" s="368" t="s">
        <v>91</v>
      </c>
      <c r="D109" s="369"/>
      <c r="E109" s="370"/>
      <c r="F109" s="258" t="s">
        <v>97</v>
      </c>
      <c r="G109" s="168" t="s">
        <v>19</v>
      </c>
      <c r="H109" s="142">
        <f>(2/12)*(H102+H93)^3*$G$7+2*(H102+H93)*(0.5*(H102+H93)-H102)^2*$G$7+(2/12)*G7*H101^3+2*G7*H101*(H107-B14-0.5*H101)^2</f>
        <v>19621.876943548607</v>
      </c>
      <c r="I109" s="141"/>
      <c r="J109" s="141"/>
      <c r="K109" s="141"/>
      <c r="L109" s="284" t="s">
        <v>282</v>
      </c>
      <c r="M109" s="284"/>
      <c r="N109" s="285"/>
      <c r="O109" s="285"/>
      <c r="P109" s="285"/>
      <c r="Q109" s="285"/>
      <c r="R109" s="285"/>
      <c r="S109" s="285"/>
      <c r="T109" s="285"/>
      <c r="U109" s="285"/>
    </row>
    <row r="110" spans="1:23" ht="18" customHeight="1">
      <c r="A110" s="146"/>
      <c r="B110" s="128"/>
      <c r="C110" s="368" t="s">
        <v>92</v>
      </c>
      <c r="D110" s="369"/>
      <c r="E110" s="370"/>
      <c r="F110" s="258" t="s">
        <v>98</v>
      </c>
      <c r="G110" s="168" t="s">
        <v>19</v>
      </c>
      <c r="H110" s="142">
        <f>2*G7*F25*($D$24-H107)^2</f>
        <v>24129.983447574592</v>
      </c>
      <c r="I110" s="141"/>
      <c r="J110" s="141"/>
      <c r="K110" s="141"/>
      <c r="L110" s="362" t="s">
        <v>283</v>
      </c>
      <c r="M110" s="362"/>
      <c r="N110" s="363"/>
      <c r="O110" s="283"/>
      <c r="P110" s="283"/>
      <c r="Q110" s="283"/>
      <c r="R110" s="283"/>
      <c r="S110" s="283"/>
      <c r="T110" s="283"/>
      <c r="U110" s="283"/>
    </row>
    <row r="111" spans="1:23" ht="18" customHeight="1">
      <c r="A111" s="146"/>
      <c r="B111" s="128"/>
      <c r="C111" s="368" t="s">
        <v>93</v>
      </c>
      <c r="D111" s="369"/>
      <c r="E111" s="370"/>
      <c r="F111" s="258" t="s">
        <v>99</v>
      </c>
      <c r="G111" s="168" t="s">
        <v>19</v>
      </c>
      <c r="H111" s="142">
        <f>4*$B$18+2*B19*(H107-(B14-B17))^2+2*B19*(D24-H107-(B14-B17))^2</f>
        <v>0</v>
      </c>
      <c r="I111" s="141"/>
      <c r="J111" s="141"/>
      <c r="K111" s="141"/>
      <c r="L111" s="362" t="s">
        <v>284</v>
      </c>
      <c r="M111" s="362"/>
      <c r="N111" s="363"/>
      <c r="O111" s="363"/>
      <c r="P111" s="363"/>
      <c r="Q111" s="283"/>
      <c r="R111" s="283"/>
      <c r="S111" s="283"/>
      <c r="T111" s="283"/>
      <c r="U111" s="283"/>
    </row>
    <row r="112" spans="1:23" ht="18" customHeight="1">
      <c r="A112" s="146"/>
      <c r="B112" s="128"/>
      <c r="C112" s="368" t="s">
        <v>175</v>
      </c>
      <c r="D112" s="369"/>
      <c r="E112" s="370"/>
      <c r="F112" s="258" t="s">
        <v>100</v>
      </c>
      <c r="G112" s="168" t="s">
        <v>19</v>
      </c>
      <c r="H112" s="142">
        <f>SUM(H108:H111)</f>
        <v>68040.497535746836</v>
      </c>
      <c r="I112" s="141"/>
      <c r="J112" s="141"/>
      <c r="K112" s="183"/>
      <c r="L112" s="362" t="s">
        <v>285</v>
      </c>
      <c r="M112" s="362"/>
      <c r="N112" s="363"/>
      <c r="O112" s="283"/>
      <c r="P112" s="283"/>
      <c r="Q112" s="283"/>
      <c r="R112" s="283"/>
      <c r="S112" s="283"/>
      <c r="T112" s="283"/>
      <c r="U112" s="283"/>
    </row>
    <row r="113" spans="1:21" ht="18" customHeight="1">
      <c r="A113" s="146"/>
      <c r="B113" s="128"/>
      <c r="C113" s="368" t="s">
        <v>94</v>
      </c>
      <c r="D113" s="369"/>
      <c r="E113" s="370"/>
      <c r="F113" s="258" t="s">
        <v>101</v>
      </c>
      <c r="G113" s="168" t="s">
        <v>103</v>
      </c>
      <c r="H113" s="142">
        <f>H112/(H107+($G$7/2))</f>
        <v>2762.9574060159234</v>
      </c>
      <c r="I113" s="141"/>
      <c r="J113" s="141"/>
      <c r="K113" s="141"/>
      <c r="L113" s="362" t="s">
        <v>288</v>
      </c>
      <c r="M113" s="362"/>
      <c r="N113" s="363"/>
      <c r="O113" s="283"/>
      <c r="P113" s="283"/>
      <c r="Q113" s="283"/>
      <c r="R113" s="283"/>
      <c r="S113" s="283"/>
      <c r="T113" s="283"/>
      <c r="U113" s="283"/>
    </row>
    <row r="114" spans="1:21" ht="18" customHeight="1" thickBot="1">
      <c r="A114" s="138"/>
      <c r="B114" s="139"/>
      <c r="C114" s="371" t="s">
        <v>95</v>
      </c>
      <c r="D114" s="372"/>
      <c r="E114" s="373"/>
      <c r="F114" s="262" t="s">
        <v>102</v>
      </c>
      <c r="G114" s="169" t="s">
        <v>103</v>
      </c>
      <c r="H114" s="143">
        <f>H112/($D$24-H107+($G$7/2))</f>
        <v>2681.501091267824</v>
      </c>
      <c r="I114" s="150"/>
      <c r="J114" s="150"/>
      <c r="K114" s="184"/>
      <c r="L114" s="362" t="s">
        <v>289</v>
      </c>
      <c r="M114" s="362"/>
      <c r="N114" s="283"/>
      <c r="O114" s="283"/>
      <c r="P114" s="283"/>
      <c r="Q114" s="283"/>
      <c r="R114" s="283"/>
      <c r="S114" s="283"/>
      <c r="T114" s="283"/>
      <c r="U114" s="283"/>
    </row>
    <row r="115" spans="1:21" ht="18" customHeight="1">
      <c r="A115" s="112"/>
      <c r="B115" s="112"/>
      <c r="C115" s="112"/>
      <c r="D115" s="112"/>
      <c r="E115" s="112"/>
      <c r="F115" s="2"/>
      <c r="I115" s="2"/>
      <c r="J115" s="117"/>
      <c r="K115" s="186"/>
      <c r="L115" s="5"/>
    </row>
    <row r="116" spans="1:21" ht="18" customHeight="1"/>
    <row r="120" spans="1:21" ht="15.75" customHeight="1"/>
    <row r="121" spans="1:21" ht="15.75" customHeight="1"/>
    <row r="122" spans="1:21" ht="15.75" customHeight="1"/>
    <row r="123" spans="1:21" ht="15.75" customHeight="1"/>
    <row r="124" spans="1:21" ht="15.75" customHeight="1"/>
    <row r="125" spans="1:21" ht="15.75" customHeight="1"/>
    <row r="126" spans="1:21" ht="15.75" customHeight="1"/>
    <row r="127" spans="1:21" ht="15.75" customHeight="1"/>
    <row r="128" spans="1:21" ht="15.75" customHeight="1"/>
    <row r="129" ht="15.75" customHeight="1"/>
    <row r="130" ht="15.75" customHeight="1"/>
    <row r="131" ht="15.75" customHeight="1"/>
    <row r="133" ht="18.75" customHeight="1"/>
    <row r="134" ht="18.75" customHeight="1"/>
  </sheetData>
  <mergeCells count="123">
    <mergeCell ref="C114:E114"/>
    <mergeCell ref="C111:E111"/>
    <mergeCell ref="C112:E112"/>
    <mergeCell ref="L110:N110"/>
    <mergeCell ref="L112:N112"/>
    <mergeCell ref="L113:N113"/>
    <mergeCell ref="C108:E108"/>
    <mergeCell ref="C109:E109"/>
    <mergeCell ref="C110:E110"/>
    <mergeCell ref="A106:B106"/>
    <mergeCell ref="C106:E106"/>
    <mergeCell ref="A107:B107"/>
    <mergeCell ref="C107:E107"/>
    <mergeCell ref="L106:P106"/>
    <mergeCell ref="L114:M114"/>
    <mergeCell ref="L108:N108"/>
    <mergeCell ref="L111:P111"/>
    <mergeCell ref="A98:B98"/>
    <mergeCell ref="C98:E98"/>
    <mergeCell ref="A99:B99"/>
    <mergeCell ref="C99:E99"/>
    <mergeCell ref="A101:B101"/>
    <mergeCell ref="C101:E101"/>
    <mergeCell ref="A102:B102"/>
    <mergeCell ref="C102:E102"/>
    <mergeCell ref="A100:B100"/>
    <mergeCell ref="C100:E100"/>
    <mergeCell ref="L98:M98"/>
    <mergeCell ref="L99:M99"/>
    <mergeCell ref="L100:M100"/>
    <mergeCell ref="L101:M101"/>
    <mergeCell ref="L102:M102"/>
    <mergeCell ref="C113:E113"/>
    <mergeCell ref="I95:J95"/>
    <mergeCell ref="A96:B96"/>
    <mergeCell ref="C96:E96"/>
    <mergeCell ref="A97:B97"/>
    <mergeCell ref="C97:E97"/>
    <mergeCell ref="C92:E92"/>
    <mergeCell ref="I92:J92"/>
    <mergeCell ref="C93:E93"/>
    <mergeCell ref="I93:J93"/>
    <mergeCell ref="A94:B94"/>
    <mergeCell ref="A95:B95"/>
    <mergeCell ref="C95:E95"/>
    <mergeCell ref="A89:B89"/>
    <mergeCell ref="C89:E89"/>
    <mergeCell ref="I89:J89"/>
    <mergeCell ref="C94:E94"/>
    <mergeCell ref="I94:J94"/>
    <mergeCell ref="A90:B90"/>
    <mergeCell ref="C90:E90"/>
    <mergeCell ref="I90:J90"/>
    <mergeCell ref="A91:B91"/>
    <mergeCell ref="C91:E91"/>
    <mergeCell ref="I91:J91"/>
    <mergeCell ref="A92:B92"/>
    <mergeCell ref="A93:B93"/>
    <mergeCell ref="A86:B86"/>
    <mergeCell ref="C86:E86"/>
    <mergeCell ref="I86:J86"/>
    <mergeCell ref="A87:B87"/>
    <mergeCell ref="C87:E87"/>
    <mergeCell ref="I87:J87"/>
    <mergeCell ref="A88:B88"/>
    <mergeCell ref="C88:E88"/>
    <mergeCell ref="I88:J88"/>
    <mergeCell ref="A85:B85"/>
    <mergeCell ref="C85:E85"/>
    <mergeCell ref="I85:J85"/>
    <mergeCell ref="A83:B83"/>
    <mergeCell ref="C83:E83"/>
    <mergeCell ref="I83:J83"/>
    <mergeCell ref="A84:B84"/>
    <mergeCell ref="C84:E84"/>
    <mergeCell ref="I84:J84"/>
    <mergeCell ref="D48:H59"/>
    <mergeCell ref="F47:H47"/>
    <mergeCell ref="I59:K59"/>
    <mergeCell ref="A61:B61"/>
    <mergeCell ref="C61:E61"/>
    <mergeCell ref="I61:J61"/>
    <mergeCell ref="I63:J63"/>
    <mergeCell ref="C82:E82"/>
    <mergeCell ref="C60:E60"/>
    <mergeCell ref="C62:E62"/>
    <mergeCell ref="I62:J62"/>
    <mergeCell ref="C63:E63"/>
    <mergeCell ref="C71:E71"/>
    <mergeCell ref="C72:E72"/>
    <mergeCell ref="C73:E73"/>
    <mergeCell ref="A67:B67"/>
    <mergeCell ref="C67:E67"/>
    <mergeCell ref="I67:J67"/>
    <mergeCell ref="C68:E68"/>
    <mergeCell ref="I68:J68"/>
    <mergeCell ref="C69:E69"/>
    <mergeCell ref="A75:B75"/>
    <mergeCell ref="C75:E75"/>
    <mergeCell ref="A78:B78"/>
    <mergeCell ref="C78:E78"/>
    <mergeCell ref="A79:B79"/>
    <mergeCell ref="C79:E79"/>
    <mergeCell ref="I69:J69"/>
    <mergeCell ref="C64:E64"/>
    <mergeCell ref="C70:E70"/>
    <mergeCell ref="A74:B74"/>
    <mergeCell ref="C74:E74"/>
    <mergeCell ref="I64:J64"/>
    <mergeCell ref="C65:E65"/>
    <mergeCell ref="I65:J65"/>
    <mergeCell ref="C66:E66"/>
    <mergeCell ref="I66:J66"/>
    <mergeCell ref="A73:B73"/>
    <mergeCell ref="A63:B63"/>
    <mergeCell ref="A64:B64"/>
    <mergeCell ref="A65:B65"/>
    <mergeCell ref="A66:B66"/>
    <mergeCell ref="A68:B68"/>
    <mergeCell ref="A69:B69"/>
    <mergeCell ref="A70:B70"/>
    <mergeCell ref="A71:B71"/>
    <mergeCell ref="A72:B72"/>
  </mergeCells>
  <phoneticPr fontId="49" type="noConversion"/>
  <conditionalFormatting sqref="F11:F12">
    <cfRule type="cellIs" dxfId="2" priority="29" operator="equal">
      <formula>"Invloed afrondingsstralen mag worden genegeerd"</formula>
    </cfRule>
    <cfRule type="cellIs" dxfId="1" priority="30" operator="equal">
      <formula>"Invloed afrondingsstralen mag niet worden genegeerd"</formula>
    </cfRule>
  </conditionalFormatting>
  <conditionalFormatting sqref="H87 H62">
    <cfRule type="containsText" dxfId="0" priority="28" operator="containsText" text="Spanningsverhouding niet mogelijk">
      <formula>NOT(ISERROR(SEARCH("Spanningsverhouding niet mogelijk",H62)))</formula>
    </cfRule>
  </conditionalFormatting>
  <pageMargins left="0.15748031496062992" right="0.15748031496062992" top="0.15748031496062992" bottom="0.15748031496062992" header="0.31496062992125984" footer="0.31496062992125984"/>
  <pageSetup paperSize="9" scale="38" orientation="landscape" r:id="rId1"/>
  <rowBreaks count="2" manualBreakCount="2">
    <brk id="117" max="16383" man="1"/>
    <brk id="153" max="16383" man="1"/>
  </rowBreaks>
  <legacyDrawing r:id="rId2"/>
  <oleObjects>
    <oleObject progId="Word.Document.12" shapeId="2050" r:id="rId3"/>
    <oleObject progId="Equation.3" shapeId="2051" r:id="rId4"/>
    <oleObject progId="Equation.3" shapeId="2052" r:id="rId5"/>
    <oleObject progId="Equation.3" shapeId="2053" r:id="rId6"/>
    <oleObject progId="Equation.3" shapeId="2054" r:id="rId7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6</vt:i4>
      </vt:variant>
    </vt:vector>
  </HeadingPairs>
  <TitlesOfParts>
    <vt:vector size="9" baseType="lpstr">
      <vt:lpstr>Input &amp; output</vt:lpstr>
      <vt:lpstr>Profieleigenschappen</vt:lpstr>
      <vt:lpstr>Berekening</vt:lpstr>
      <vt:lpstr>Berekening!Afdrukbereik</vt:lpstr>
      <vt:lpstr>'Input &amp; output'!Afdrukbereik</vt:lpstr>
      <vt:lpstr>Profieleigenschappen!Afdrukbereik</vt:lpstr>
      <vt:lpstr>Berekening!Afdruktitels</vt:lpstr>
      <vt:lpstr>'Input &amp; output'!Afdruktitels</vt:lpstr>
      <vt:lpstr>Profieleigenschappen!Afdruktitels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Monique</cp:lastModifiedBy>
  <cp:lastPrinted>2009-09-27T12:20:13Z</cp:lastPrinted>
  <dcterms:created xsi:type="dcterms:W3CDTF">2009-01-30T09:46:19Z</dcterms:created>
  <dcterms:modified xsi:type="dcterms:W3CDTF">2009-09-27T12:21:25Z</dcterms:modified>
</cp:coreProperties>
</file>