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5480" windowHeight="11640" activeTab="2"/>
  </bookViews>
  <sheets>
    <sheet name="Input,output" sheetId="7" r:id="rId1"/>
    <sheet name="Profieleigenschappen" sheetId="1" r:id="rId2"/>
    <sheet name="Berekening" sheetId="8" r:id="rId3"/>
  </sheets>
  <definedNames>
    <definedName name="_xlnm.Print_Area" localSheetId="2">Berekening!$A$1:$Z$155</definedName>
    <definedName name="_xlnm.Print_Area" localSheetId="1">Profieleigenschappen!$A$1:$Z$58</definedName>
    <definedName name="dfs" localSheetId="2">Berekening!#REF!</definedName>
    <definedName name="dfs" localSheetId="0">'Input,output'!#REF!</definedName>
    <definedName name="dfs">Profieleigenschappen!#REF!</definedName>
  </definedNames>
  <calcPr calcId="125725"/>
</workbook>
</file>

<file path=xl/calcChain.xml><?xml version="1.0" encoding="utf-8"?>
<calcChain xmlns="http://schemas.openxmlformats.org/spreadsheetml/2006/main">
  <c r="G6" i="8"/>
  <c r="D22" s="1"/>
  <c r="G8"/>
  <c r="G9"/>
  <c r="B8"/>
  <c r="H79" s="1"/>
  <c r="G7"/>
  <c r="F22" s="1"/>
  <c r="C24" i="7"/>
  <c r="F24" s="1"/>
  <c r="F20"/>
  <c r="N20" s="1"/>
  <c r="B10" i="8"/>
  <c r="B9"/>
  <c r="B7"/>
  <c r="G5"/>
  <c r="B22" s="1"/>
  <c r="B5"/>
  <c r="E24" i="7"/>
  <c r="G8" i="1"/>
  <c r="C14" s="1"/>
  <c r="G7"/>
  <c r="E13" s="1"/>
  <c r="G6"/>
  <c r="F28" s="1"/>
  <c r="F21" i="7"/>
  <c r="H20" s="1"/>
  <c r="F18"/>
  <c r="N18" s="1"/>
  <c r="F17"/>
  <c r="N17" s="1"/>
  <c r="F19"/>
  <c r="N19" s="1"/>
  <c r="F15"/>
  <c r="H15" s="1"/>
  <c r="G5" i="1"/>
  <c r="B4"/>
  <c r="B6"/>
  <c r="B7"/>
  <c r="B8"/>
  <c r="B9"/>
  <c r="G4"/>
  <c r="N24" i="7" l="1"/>
  <c r="B23" i="8"/>
  <c r="B32" s="1"/>
  <c r="H17" i="7"/>
  <c r="F29" i="1"/>
  <c r="I5"/>
  <c r="H18" i="7"/>
  <c r="N15"/>
  <c r="N21"/>
  <c r="H97" i="8"/>
  <c r="H63"/>
  <c r="B6"/>
  <c r="F23"/>
  <c r="D23"/>
  <c r="B30"/>
  <c r="J4" i="1"/>
  <c r="D28"/>
  <c r="D29" s="1"/>
  <c r="B31" i="8"/>
  <c r="B13"/>
  <c r="J5" i="1"/>
  <c r="B28"/>
  <c r="B29" s="1"/>
  <c r="I4"/>
  <c r="B36"/>
  <c r="B37"/>
  <c r="J6"/>
  <c r="B5"/>
  <c r="H19" i="7"/>
  <c r="C13" i="1"/>
  <c r="I6"/>
  <c r="B19"/>
  <c r="A55" i="7" l="1"/>
  <c r="E32" i="8"/>
  <c r="F30" i="1"/>
  <c r="A25"/>
  <c r="A43"/>
  <c r="B24" i="8"/>
  <c r="B33"/>
  <c r="B35" s="1"/>
  <c r="F24"/>
  <c r="B39" i="1"/>
  <c r="B41" s="1"/>
  <c r="B38"/>
  <c r="B14" i="8"/>
  <c r="B25" s="1"/>
  <c r="H64" s="1"/>
  <c r="H65" s="1"/>
  <c r="H66" s="1"/>
  <c r="B16"/>
  <c r="B17"/>
  <c r="B15"/>
  <c r="A19"/>
  <c r="A37"/>
  <c r="D24"/>
  <c r="E38" i="1"/>
  <c r="D30"/>
  <c r="B21"/>
  <c r="B24" s="1"/>
  <c r="B20"/>
  <c r="B22"/>
  <c r="B23"/>
  <c r="B30"/>
  <c r="B18" i="8" l="1"/>
  <c r="E30" s="1"/>
  <c r="E31" s="1"/>
  <c r="E34" s="1"/>
  <c r="E36" s="1"/>
  <c r="D25"/>
  <c r="H94" s="1"/>
  <c r="F25"/>
  <c r="H98" s="1"/>
  <c r="H67"/>
  <c r="H68" s="1"/>
  <c r="H69" s="1"/>
  <c r="H70" s="1"/>
  <c r="H71" s="1"/>
  <c r="E33"/>
  <c r="E36" i="1"/>
  <c r="E37" s="1"/>
  <c r="F31"/>
  <c r="D31"/>
  <c r="B31"/>
  <c r="E39"/>
  <c r="E41" s="1"/>
  <c r="E35" i="8" l="1"/>
  <c r="B34"/>
  <c r="B36" s="1"/>
  <c r="H93"/>
  <c r="H95" s="1"/>
  <c r="H96" s="1"/>
  <c r="H99" s="1"/>
  <c r="H100" s="1"/>
  <c r="H101" s="1"/>
  <c r="H102" s="1"/>
  <c r="H103" s="1"/>
  <c r="H104" s="1"/>
  <c r="H80"/>
  <c r="H81" s="1"/>
  <c r="H82" s="1"/>
  <c r="H83" s="1"/>
  <c r="H84" s="1"/>
  <c r="H85" s="1"/>
  <c r="H72"/>
  <c r="H73"/>
  <c r="B50" i="7"/>
  <c r="B40" i="1"/>
  <c r="B42" s="1"/>
  <c r="E40"/>
  <c r="E42" s="1"/>
  <c r="E14"/>
  <c r="A10" i="7" s="1"/>
  <c r="H74" i="8" l="1"/>
  <c r="H75"/>
  <c r="H86"/>
  <c r="H88" s="1"/>
  <c r="H87"/>
  <c r="H89" s="1"/>
  <c r="A9" i="7"/>
  <c r="F13" i="1"/>
  <c r="B44" i="7"/>
  <c r="H90" i="8" l="1"/>
  <c r="H91"/>
  <c r="H92" s="1"/>
  <c r="H76"/>
  <c r="B40" i="7"/>
  <c r="H112" i="8" l="1"/>
  <c r="B43" i="7"/>
  <c r="B42"/>
  <c r="B41"/>
  <c r="H105" i="8" l="1"/>
  <c r="H111" s="1"/>
  <c r="H106"/>
  <c r="H107" s="1"/>
  <c r="I7" i="1"/>
  <c r="H108" i="8" l="1"/>
  <c r="H110" s="1"/>
  <c r="J9" i="1"/>
  <c r="A12" i="7"/>
  <c r="A53" s="1"/>
  <c r="H113" i="8" l="1"/>
  <c r="H114" s="1"/>
  <c r="H115" s="1"/>
  <c r="H116" s="1"/>
  <c r="H117" s="1"/>
  <c r="H118" s="1"/>
  <c r="B46" i="7" s="1"/>
  <c r="J7" i="1"/>
  <c r="H121" i="8" l="1"/>
  <c r="H122" s="1"/>
  <c r="H123" s="1"/>
  <c r="B51" i="7" s="1"/>
  <c r="B48" l="1"/>
  <c r="B49"/>
</calcChain>
</file>

<file path=xl/sharedStrings.xml><?xml version="1.0" encoding="utf-8"?>
<sst xmlns="http://schemas.openxmlformats.org/spreadsheetml/2006/main" count="515" uniqueCount="251">
  <si>
    <t>Karakteristieken afrondingsstraal</t>
  </si>
  <si>
    <t>r</t>
  </si>
  <si>
    <t>t</t>
  </si>
  <si>
    <t>mm</t>
  </si>
  <si>
    <t>h</t>
  </si>
  <si>
    <t>b</t>
  </si>
  <si>
    <t>c</t>
  </si>
  <si>
    <t>Profielafmetingen</t>
  </si>
  <si>
    <t>mm²</t>
  </si>
  <si>
    <t>ε</t>
  </si>
  <si>
    <t>ρ</t>
  </si>
  <si>
    <t>ψ</t>
  </si>
  <si>
    <t>Materiaaleigenschappen</t>
  </si>
  <si>
    <t>E</t>
  </si>
  <si>
    <t>G</t>
  </si>
  <si>
    <t>N/mm²</t>
  </si>
  <si>
    <t>Eigenschappen effectieve doorsnede</t>
  </si>
  <si>
    <r>
      <t>c</t>
    </r>
    <r>
      <rPr>
        <i/>
        <vertAlign val="subscript"/>
        <sz val="11"/>
        <color indexed="8"/>
        <rFont val="Arial"/>
        <family val="2"/>
      </rPr>
      <t xml:space="preserve">eff </t>
    </r>
  </si>
  <si>
    <r>
      <t>A</t>
    </r>
    <r>
      <rPr>
        <i/>
        <vertAlign val="subscript"/>
        <sz val="11"/>
        <color indexed="8"/>
        <rFont val="Arial"/>
        <family val="2"/>
      </rPr>
      <t>eff</t>
    </r>
  </si>
  <si>
    <r>
      <t>A</t>
    </r>
    <r>
      <rPr>
        <i/>
        <vertAlign val="subscript"/>
        <sz val="11"/>
        <color indexed="8"/>
        <rFont val="Arial"/>
        <family val="2"/>
      </rPr>
      <t>s,red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</si>
  <si>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</si>
  <si>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r>
      <t>y</t>
    </r>
    <r>
      <rPr>
        <i/>
        <vertAlign val="subscript"/>
        <sz val="11"/>
        <color indexed="8"/>
        <rFont val="Arial"/>
        <family val="2"/>
      </rPr>
      <t>eff</t>
    </r>
  </si>
  <si>
    <r>
      <t>y</t>
    </r>
    <r>
      <rPr>
        <i/>
        <vertAlign val="subscript"/>
        <sz val="11"/>
        <color indexed="8"/>
        <rFont val="Arial"/>
        <family val="2"/>
      </rPr>
      <t>g ,sh</t>
    </r>
  </si>
  <si>
    <t>INPUT</t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</si>
  <si>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</si>
  <si>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>eff</t>
    </r>
  </si>
  <si>
    <r>
      <t>z</t>
    </r>
    <r>
      <rPr>
        <i/>
        <vertAlign val="subscript"/>
        <sz val="11"/>
        <color indexed="8"/>
        <rFont val="Arial"/>
        <family val="2"/>
      </rPr>
      <t>g ,sh</t>
    </r>
  </si>
  <si>
    <t>Afgeleide profielmaten [mm]</t>
  </si>
  <si>
    <t>Voorwaarde voor de berekening</t>
  </si>
  <si>
    <t>Plaatdikte</t>
  </si>
  <si>
    <t>Geometrie van profiel</t>
  </si>
  <si>
    <t>Randverstijving</t>
  </si>
  <si>
    <t>c/t</t>
  </si>
  <si>
    <t>h/t</t>
  </si>
  <si>
    <t>plaatdeel 1</t>
  </si>
  <si>
    <t>plaatdeel 2</t>
  </si>
  <si>
    <t>b/t</t>
  </si>
  <si>
    <t>Afrondingsstraal wel of niet in rekening brengen?</t>
  </si>
  <si>
    <t>≤</t>
  </si>
  <si>
    <t>Eenheid</t>
  </si>
  <si>
    <t>Plaatdeel 1</t>
  </si>
  <si>
    <t>--</t>
  </si>
  <si>
    <t>reductie factor</t>
  </si>
  <si>
    <t>effectieve breedte</t>
  </si>
  <si>
    <t>Plaatdeel 2</t>
  </si>
  <si>
    <t>Plaatdeel 3</t>
  </si>
  <si>
    <t>effectief oppervlak</t>
  </si>
  <si>
    <t>afstand</t>
  </si>
  <si>
    <t>traagheidsmoment</t>
  </si>
  <si>
    <t>knikspanning verstijver</t>
  </si>
  <si>
    <t>reductiefactor</t>
  </si>
  <si>
    <t>gereduceerde dikte</t>
  </si>
  <si>
    <t>dwarsdoorsnede</t>
  </si>
  <si>
    <t>afstand van lijf tot zwaartepunt</t>
  </si>
  <si>
    <t>verschuiving zwaartepunt</t>
  </si>
  <si>
    <t>Initiële ber.</t>
  </si>
  <si>
    <t>Symbool</t>
  </si>
  <si>
    <t>Parameter</t>
  </si>
  <si>
    <t>Onderdeel</t>
  </si>
  <si>
    <t>Effectieve</t>
  </si>
  <si>
    <r>
      <t>y</t>
    </r>
    <r>
      <rPr>
        <i/>
        <vertAlign val="subscript"/>
        <sz val="11"/>
        <color indexed="8"/>
        <rFont val="Arial"/>
        <family val="2"/>
      </rPr>
      <t xml:space="preserve">g </t>
    </r>
  </si>
  <si>
    <r>
      <t>≤</t>
    </r>
    <r>
      <rPr>
        <sz val="12.65"/>
        <color indexed="8"/>
        <rFont val="Arial"/>
        <family val="2"/>
      </rPr>
      <t xml:space="preserve"> 50</t>
    </r>
  </si>
  <si>
    <r>
      <t>≤</t>
    </r>
    <r>
      <rPr>
        <sz val="12.65"/>
        <color indexed="8"/>
        <rFont val="Arial"/>
        <family val="2"/>
      </rPr>
      <t xml:space="preserve"> 500</t>
    </r>
  </si>
  <si>
    <r>
      <t>≤</t>
    </r>
    <r>
      <rPr>
        <sz val="12.65"/>
        <color indexed="8"/>
        <rFont val="Arial"/>
        <family val="2"/>
      </rPr>
      <t xml:space="preserve"> 60</t>
    </r>
  </si>
  <si>
    <r>
      <t>y</t>
    </r>
    <r>
      <rPr>
        <i/>
        <vertAlign val="subscript"/>
        <sz val="12"/>
        <color indexed="8"/>
        <rFont val="Arial"/>
        <family val="2"/>
      </rPr>
      <t>g</t>
    </r>
  </si>
  <si>
    <r>
      <t>mm</t>
    </r>
    <r>
      <rPr>
        <vertAlign val="superscript"/>
        <sz val="11"/>
        <color indexed="8"/>
        <rFont val="Arial"/>
        <family val="2"/>
      </rPr>
      <t>2</t>
    </r>
  </si>
  <si>
    <r>
      <t>N/mm</t>
    </r>
    <r>
      <rPr>
        <vertAlign val="superscript"/>
        <sz val="11"/>
        <color indexed="8"/>
        <rFont val="Arial"/>
        <family val="2"/>
      </rPr>
      <t>2</t>
    </r>
  </si>
  <si>
    <r>
      <t xml:space="preserve">≤ </t>
    </r>
    <r>
      <rPr>
        <sz val="12.65"/>
        <color indexed="8"/>
        <rFont val="Arial"/>
        <family val="2"/>
      </rPr>
      <t>8</t>
    </r>
  </si>
  <si>
    <t>≤ 0,6</t>
  </si>
  <si>
    <t>EN 1993-1-3, 5.1 (3)</t>
  </si>
  <si>
    <t>EN 1993-1-5, 4.4 (2)</t>
  </si>
  <si>
    <t>EN 1993-1-3, 5.5.3.2 (5)</t>
  </si>
  <si>
    <t>ν</t>
  </si>
  <si>
    <t>gereduceerd effectief opp.</t>
  </si>
  <si>
    <t>c/b</t>
  </si>
  <si>
    <t>plaatdeel 3 [lip]</t>
  </si>
  <si>
    <t>veerstijfheid</t>
  </si>
  <si>
    <t>relatieve slankheid</t>
  </si>
  <si>
    <t>spanningsverh.</t>
  </si>
  <si>
    <t>plooicoëfficiënt</t>
  </si>
  <si>
    <t>plaatslankheid</t>
  </si>
  <si>
    <t>eff. profielmaten</t>
  </si>
  <si>
    <t>EN 1993-1-5, tabel 4.1</t>
  </si>
  <si>
    <t>EN 1993-1-5, tabel 4.2</t>
  </si>
  <si>
    <t>EN 1993-1-3, 5.5.3.1 (5)</t>
  </si>
  <si>
    <t>EN 1993-1-3, 5.5.3.2 (7)</t>
  </si>
  <si>
    <t>EN 1993-1-3, 5.5.3.1 (7)</t>
  </si>
  <si>
    <t>EN 1993-1-3, 5.5.3.2 (11)</t>
  </si>
  <si>
    <t>EN 1993-1-3, 5.5.3.2 (12)</t>
  </si>
  <si>
    <t>1 ≤</t>
  </si>
  <si>
    <t>≥ 0,2</t>
  </si>
  <si>
    <t>C - N: Input,output</t>
  </si>
  <si>
    <t>C - N: Profieleigenschappen</t>
  </si>
  <si>
    <r>
      <t>f</t>
    </r>
    <r>
      <rPr>
        <i/>
        <vertAlign val="subscript"/>
        <sz val="11"/>
        <color indexed="8"/>
        <rFont val="Arial"/>
        <family val="2"/>
      </rPr>
      <t>yb</t>
    </r>
  </si>
  <si>
    <r>
      <t>k</t>
    </r>
    <r>
      <rPr>
        <i/>
        <vertAlign val="subscript"/>
        <sz val="11"/>
        <color indexed="8"/>
        <rFont val="Arial"/>
        <family val="2"/>
      </rPr>
      <t>f</t>
    </r>
  </si>
  <si>
    <r>
      <t>γ</t>
    </r>
    <r>
      <rPr>
        <i/>
        <vertAlign val="subscript"/>
        <sz val="11"/>
        <color indexed="8"/>
        <rFont val="Arial"/>
        <family val="2"/>
      </rPr>
      <t>M0</t>
    </r>
  </si>
  <si>
    <r>
      <t>γ</t>
    </r>
    <r>
      <rPr>
        <i/>
        <vertAlign val="subscript"/>
        <sz val="11"/>
        <color indexed="8"/>
        <rFont val="Arial"/>
        <family val="2"/>
      </rPr>
      <t>M1</t>
    </r>
  </si>
  <si>
    <r>
      <t xml:space="preserve">0,04 * </t>
    </r>
    <r>
      <rPr>
        <i/>
        <sz val="11"/>
        <color indexed="8"/>
        <rFont val="Arial"/>
        <family val="2"/>
      </rPr>
      <t>t *E / f</t>
    </r>
    <r>
      <rPr>
        <i/>
        <vertAlign val="subscript"/>
        <sz val="11"/>
        <color indexed="8"/>
        <rFont val="Arial"/>
        <family val="2"/>
      </rPr>
      <t>y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</si>
  <si>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5 </t>
    </r>
    <r>
      <rPr>
        <i/>
        <sz val="11"/>
        <color indexed="8"/>
        <rFont val="Arial"/>
        <family val="2"/>
      </rPr>
      <t>t</t>
    </r>
  </si>
  <si>
    <r>
      <rPr>
        <i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≤ 0,1 </t>
    </r>
    <r>
      <rPr>
        <i/>
        <sz val="12"/>
        <color indexed="8"/>
        <rFont val="Arial"/>
        <family val="2"/>
      </rPr>
      <t>b</t>
    </r>
    <r>
      <rPr>
        <i/>
        <vertAlign val="subscript"/>
        <sz val="12"/>
        <color indexed="8"/>
        <rFont val="Arial"/>
        <family val="2"/>
      </rPr>
      <t>p</t>
    </r>
  </si>
  <si>
    <r>
      <t>r</t>
    </r>
    <r>
      <rPr>
        <i/>
        <vertAlign val="subscript"/>
        <sz val="11"/>
        <color indexed="8"/>
        <rFont val="Arial"/>
        <family val="2"/>
      </rPr>
      <t>m</t>
    </r>
  </si>
  <si>
    <r>
      <t>l</t>
    </r>
    <r>
      <rPr>
        <i/>
        <vertAlign val="subscript"/>
        <sz val="11"/>
        <color indexed="8"/>
        <rFont val="Times New Roman"/>
        <family val="1"/>
      </rPr>
      <t>r</t>
    </r>
  </si>
  <si>
    <r>
      <t>e</t>
    </r>
    <r>
      <rPr>
        <i/>
        <vertAlign val="subscript"/>
        <sz val="11"/>
        <color indexed="8"/>
        <rFont val="Arial"/>
        <family val="2"/>
      </rPr>
      <t>rc</t>
    </r>
  </si>
  <si>
    <r>
      <t>I</t>
    </r>
    <r>
      <rPr>
        <i/>
        <vertAlign val="subscript"/>
        <sz val="11"/>
        <color indexed="8"/>
        <rFont val="Arial"/>
        <family val="2"/>
      </rPr>
      <t>rc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</si>
  <si>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</si>
  <si>
    <r>
      <t>h</t>
    </r>
    <r>
      <rPr>
        <i/>
        <vertAlign val="subscript"/>
        <sz val="11"/>
        <color indexed="8"/>
        <rFont val="Arial"/>
        <family val="2"/>
      </rPr>
      <t>v</t>
    </r>
  </si>
  <si>
    <r>
      <t>h</t>
    </r>
    <r>
      <rPr>
        <i/>
        <vertAlign val="subscript"/>
        <sz val="11"/>
        <color indexed="8"/>
        <rFont val="Arial"/>
        <family val="2"/>
      </rPr>
      <t>p</t>
    </r>
  </si>
  <si>
    <r>
      <t>b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</si>
  <si>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v</t>
    </r>
  </si>
  <si>
    <r>
      <t>b</t>
    </r>
    <r>
      <rPr>
        <i/>
        <vertAlign val="subscript"/>
        <sz val="11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</si>
  <si>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</si>
  <si>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</si>
  <si>
    <r>
      <t>c</t>
    </r>
    <r>
      <rPr>
        <i/>
        <vertAlign val="subscript"/>
        <sz val="11"/>
        <color indexed="8"/>
        <rFont val="Arial"/>
        <family val="2"/>
      </rPr>
      <t>p</t>
    </r>
  </si>
  <si>
    <r>
      <t>y</t>
    </r>
    <r>
      <rPr>
        <i/>
        <vertAlign val="subscript"/>
        <sz val="11"/>
        <color indexed="8"/>
        <rFont val="Arial"/>
        <family val="2"/>
      </rPr>
      <t>g</t>
    </r>
  </si>
  <si>
    <r>
      <t>y</t>
    </r>
    <r>
      <rPr>
        <i/>
        <vertAlign val="subscript"/>
        <sz val="11"/>
        <color indexed="8"/>
        <rFont val="Arial"/>
        <family val="2"/>
      </rPr>
      <t>g sh</t>
    </r>
  </si>
  <si>
    <r>
      <t>z</t>
    </r>
    <r>
      <rPr>
        <i/>
        <vertAlign val="subscript"/>
        <sz val="11"/>
        <color indexed="8"/>
        <rFont val="Arial"/>
        <family val="2"/>
      </rPr>
      <t>g,sh</t>
    </r>
  </si>
  <si>
    <r>
      <t>k</t>
    </r>
    <r>
      <rPr>
        <i/>
        <vertAlign val="subscript"/>
        <sz val="11"/>
        <color indexed="8"/>
        <rFont val="Arial"/>
        <family val="2"/>
      </rPr>
      <t>σ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</si>
  <si>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e1 </t>
    </r>
  </si>
  <si>
    <r>
      <t>b</t>
    </r>
    <r>
      <rPr>
        <i/>
        <vertAlign val="subscript"/>
        <sz val="11"/>
        <color indexed="8"/>
        <rFont val="Arial"/>
        <family val="2"/>
      </rPr>
      <t>e2</t>
    </r>
  </si>
  <si>
    <r>
      <t>e</t>
    </r>
    <r>
      <rPr>
        <i/>
        <vertAlign val="subscript"/>
        <sz val="11"/>
        <color indexed="8"/>
        <rFont val="Arial"/>
        <family val="2"/>
      </rPr>
      <t>a</t>
    </r>
  </si>
  <si>
    <r>
      <t>e</t>
    </r>
    <r>
      <rPr>
        <i/>
        <vertAlign val="subscript"/>
        <sz val="11"/>
        <color indexed="8"/>
        <rFont val="Arial"/>
        <family val="2"/>
      </rPr>
      <t>b</t>
    </r>
  </si>
  <si>
    <r>
      <t>b</t>
    </r>
    <r>
      <rPr>
        <i/>
        <vertAlign val="subscript"/>
        <sz val="11"/>
        <color indexed="8"/>
        <rFont val="Arial"/>
        <family val="2"/>
      </rPr>
      <t>1</t>
    </r>
  </si>
  <si>
    <r>
      <t>b</t>
    </r>
    <r>
      <rPr>
        <i/>
        <vertAlign val="subscript"/>
        <sz val="11"/>
        <color indexed="8"/>
        <rFont val="Arial"/>
        <family val="2"/>
      </rPr>
      <t>2</t>
    </r>
  </si>
  <si>
    <r>
      <t>K</t>
    </r>
    <r>
      <rPr>
        <i/>
        <vertAlign val="subscript"/>
        <sz val="11"/>
        <color indexed="8"/>
        <rFont val="Arial"/>
        <family val="2"/>
      </rPr>
      <t>1</t>
    </r>
  </si>
  <si>
    <r>
      <t>I</t>
    </r>
    <r>
      <rPr>
        <i/>
        <vertAlign val="subscript"/>
        <sz val="11"/>
        <color indexed="8"/>
        <rFont val="Arial"/>
        <family val="2"/>
      </rPr>
      <t>s</t>
    </r>
  </si>
  <si>
    <r>
      <t>A</t>
    </r>
    <r>
      <rPr>
        <i/>
        <vertAlign val="subscript"/>
        <sz val="11"/>
        <color indexed="8"/>
        <rFont val="Arial"/>
        <family val="2"/>
      </rPr>
      <t>s</t>
    </r>
  </si>
  <si>
    <r>
      <t>σ</t>
    </r>
    <r>
      <rPr>
        <i/>
        <vertAlign val="subscript"/>
        <sz val="11"/>
        <color indexed="8"/>
        <rFont val="Arial"/>
        <family val="2"/>
      </rPr>
      <t>cr;s</t>
    </r>
  </si>
  <si>
    <r>
      <t>t</t>
    </r>
    <r>
      <rPr>
        <i/>
        <vertAlign val="subscript"/>
        <sz val="11"/>
        <color indexed="8"/>
        <rFont val="Arial"/>
        <family val="2"/>
      </rPr>
      <t>red</t>
    </r>
  </si>
  <si>
    <r>
      <t>γ</t>
    </r>
    <r>
      <rPr>
        <i/>
        <vertAlign val="subscript"/>
        <sz val="11"/>
        <color indexed="8"/>
        <rFont val="Arial"/>
        <family val="2"/>
      </rPr>
      <t>eff</t>
    </r>
  </si>
  <si>
    <r>
      <t>e</t>
    </r>
    <r>
      <rPr>
        <i/>
        <vertAlign val="subscript"/>
        <sz val="11"/>
        <color indexed="8"/>
        <rFont val="Arial"/>
        <family val="2"/>
      </rPr>
      <t>Nz</t>
    </r>
  </si>
  <si>
    <r>
      <t>h</t>
    </r>
    <r>
      <rPr>
        <i/>
        <vertAlign val="subscript"/>
        <sz val="11"/>
        <color indexed="8"/>
        <rFont val="Arial"/>
        <family val="2"/>
      </rPr>
      <t>eff1</t>
    </r>
  </si>
  <si>
    <r>
      <t>h</t>
    </r>
    <r>
      <rPr>
        <i/>
        <vertAlign val="subscript"/>
        <sz val="11"/>
        <color indexed="8"/>
        <rFont val="Arial"/>
        <family val="2"/>
      </rPr>
      <t>eff2</t>
    </r>
  </si>
  <si>
    <r>
      <t>h</t>
    </r>
    <r>
      <rPr>
        <i/>
        <vertAlign val="subscript"/>
        <sz val="11"/>
        <color indexed="8"/>
        <rFont val="Arial"/>
        <family val="2"/>
      </rPr>
      <t>eff1,m</t>
    </r>
  </si>
  <si>
    <r>
      <t>h</t>
    </r>
    <r>
      <rPr>
        <i/>
        <vertAlign val="subscript"/>
        <sz val="11"/>
        <color indexed="8"/>
        <rFont val="Arial"/>
        <family val="2"/>
      </rPr>
      <t>eff2,m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</si>
  <si>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</si>
  <si>
    <r>
      <t>h</t>
    </r>
    <r>
      <rPr>
        <i/>
        <vertAlign val="subscript"/>
        <sz val="11"/>
        <color indexed="8"/>
        <rFont val="Arial"/>
        <family val="2"/>
      </rPr>
      <t>eff2,v</t>
    </r>
  </si>
  <si>
    <r>
      <t>b</t>
    </r>
    <r>
      <rPr>
        <i/>
        <vertAlign val="subscript"/>
        <sz val="11"/>
        <color indexed="8"/>
        <rFont val="Arial"/>
        <family val="2"/>
      </rPr>
      <t>eff1</t>
    </r>
  </si>
  <si>
    <r>
      <t>b</t>
    </r>
    <r>
      <rPr>
        <i/>
        <vertAlign val="subscript"/>
        <sz val="11"/>
        <color indexed="8"/>
        <rFont val="Arial"/>
        <family val="2"/>
      </rPr>
      <t>eff2</t>
    </r>
  </si>
  <si>
    <r>
      <t>b</t>
    </r>
    <r>
      <rPr>
        <i/>
        <vertAlign val="subscript"/>
        <sz val="11"/>
        <color indexed="8"/>
        <rFont val="Arial"/>
        <family val="2"/>
      </rPr>
      <t>eff1,m</t>
    </r>
  </si>
  <si>
    <r>
      <t>b</t>
    </r>
    <r>
      <rPr>
        <i/>
        <vertAlign val="subscript"/>
        <sz val="11"/>
        <color indexed="8"/>
        <rFont val="Arial"/>
        <family val="2"/>
      </rPr>
      <t>eff2,m</t>
    </r>
  </si>
  <si>
    <r>
      <t>b</t>
    </r>
    <r>
      <rPr>
        <i/>
        <vertAlign val="subscript"/>
        <sz val="11"/>
        <color indexed="8"/>
        <rFont val="Arial"/>
        <family val="2"/>
      </rPr>
      <t>eff1,v</t>
    </r>
  </si>
  <si>
    <r>
      <t>b</t>
    </r>
    <r>
      <rPr>
        <i/>
        <vertAlign val="subscript"/>
        <sz val="11"/>
        <color indexed="8"/>
        <rFont val="Arial"/>
        <family val="2"/>
      </rPr>
      <t>eff2,v</t>
    </r>
  </si>
  <si>
    <r>
      <t>c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>/b</t>
    </r>
    <r>
      <rPr>
        <i/>
        <vertAlign val="subscript"/>
        <sz val="11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</si>
  <si>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>eff,m</t>
    </r>
  </si>
  <si>
    <r>
      <t>c</t>
    </r>
    <r>
      <rPr>
        <i/>
        <vertAlign val="subscript"/>
        <sz val="11"/>
        <color indexed="8"/>
        <rFont val="Arial"/>
        <family val="2"/>
      </rPr>
      <t>eff,v</t>
    </r>
  </si>
  <si>
    <r>
      <t>χ</t>
    </r>
    <r>
      <rPr>
        <i/>
        <vertAlign val="subscript"/>
        <sz val="11"/>
        <color indexed="8"/>
        <rFont val="Arial"/>
        <family val="2"/>
      </rPr>
      <t>d,n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</si>
  <si>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=h</t>
    </r>
    <r>
      <rPr>
        <i/>
        <vertAlign val="subscript"/>
        <sz val="11"/>
        <color indexed="8"/>
        <rFont val="Arial"/>
        <family val="2"/>
      </rPr>
      <t>w</t>
    </r>
  </si>
  <si>
    <r>
      <t>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r + t/2</t>
    </r>
  </si>
  <si>
    <r>
      <t>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(tan 45° - sin 45°)</t>
    </r>
  </si>
  <si>
    <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</si>
  <si>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t>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0,637 * r</t>
    </r>
    <r>
      <rPr>
        <i/>
        <vertAlign val="subscript"/>
        <sz val="11"/>
        <color indexed="8"/>
        <rFont val="Arial"/>
        <family val="2"/>
      </rPr>
      <t>m</t>
    </r>
  </si>
  <si>
    <r>
      <t>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0,149 * r</t>
    </r>
    <r>
      <rPr>
        <i/>
        <vertAlign val="subscript"/>
        <sz val="11"/>
        <color indexed="8"/>
        <rFont val="Arial"/>
        <family val="2"/>
      </rPr>
      <t>m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</si>
  <si>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h – t</t>
    </r>
  </si>
  <si>
    <r>
      <t>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b – t</t>
    </r>
  </si>
  <si>
    <r>
      <t>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c – ½ * t</t>
    </r>
  </si>
  <si>
    <r>
      <t>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</si>
  <si>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</si>
  <si>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</si>
  <si>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</si>
  <si>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</si>
  <si>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g</t>
    </r>
    <r>
      <rPr>
        <i/>
        <vertAlign val="subscript"/>
        <sz val="11"/>
        <color indexed="8"/>
        <rFont val="Arial"/>
        <family val="2"/>
      </rPr>
      <t>r</t>
    </r>
  </si>
  <si>
    <r>
      <t>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(2 * 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(4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</t>
    </r>
  </si>
  <si>
    <r>
      <t>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= (2 * b * t) + (t * (h – 2 * t)) + (2 * t * (c – t))</t>
    </r>
  </si>
  <si>
    <r>
      <t>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*t)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½ * t))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 b)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 – (½ * t) +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 – (½ * t)) ]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(½ * t)</t>
    </r>
  </si>
  <si>
    <r>
      <t>y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= [ (2 * b * t * ½ * b) + (t * (h – (2 * t)) – (½ * t) ) + (2 * t * (c – t) * (b – (½ * t))) ] / 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- (½ * t)</t>
    </r>
  </si>
  <si>
    <r>
      <t>z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</si>
  <si>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z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</si>
  <si>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(2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(4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 + (2 *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h) – c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))²)))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</si>
  <si>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 + (2*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 *  (c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</si>
  <si>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</si>
  <si>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g,y,sh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</si>
  <si>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</si>
  <si>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g,z,sh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>)</t>
    </r>
  </si>
  <si>
    <t>Profieleigenschappen niet gereduceerde dwarsdoorsnede</t>
  </si>
  <si>
    <t>Scherpe hoeken</t>
  </si>
  <si>
    <t>Met afrondingsstraal</t>
  </si>
  <si>
    <r>
      <t>A</t>
    </r>
    <r>
      <rPr>
        <i/>
        <vertAlign val="subscript"/>
        <sz val="11"/>
        <color indexed="8"/>
        <rFont val="Arial"/>
        <family val="2"/>
      </rPr>
      <t>g,sh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</si>
  <si>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</si>
  <si>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</si>
  <si>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</si>
  <si>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</si>
  <si>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A</t>
    </r>
    <r>
      <rPr>
        <i/>
        <vertAlign val="subscript"/>
        <sz val="11"/>
        <color indexed="8"/>
        <rFont val="Arial"/>
        <family val="2"/>
      </rPr>
      <t>g</t>
    </r>
  </si>
  <si>
    <r>
      <t>z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</si>
  <si>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</si>
  <si>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</si>
  <si>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</si>
  <si>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</si>
  <si>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γ</t>
    </r>
    <r>
      <rPr>
        <i/>
        <vertAlign val="subscript"/>
        <sz val="11"/>
        <color indexed="8"/>
        <rFont val="Arial"/>
        <family val="2"/>
      </rPr>
      <t>M 0</t>
    </r>
  </si>
  <si>
    <r>
      <t>γ</t>
    </r>
    <r>
      <rPr>
        <i/>
        <vertAlign val="subscript"/>
        <sz val="11"/>
        <color indexed="8"/>
        <rFont val="Arial"/>
        <family val="2"/>
      </rPr>
      <t>M 1</t>
    </r>
  </si>
  <si>
    <r>
      <t>A</t>
    </r>
    <r>
      <rPr>
        <i/>
        <vertAlign val="subscript"/>
        <sz val="12"/>
        <color indexed="8"/>
        <rFont val="Arial"/>
        <family val="2"/>
      </rPr>
      <t>afronding</t>
    </r>
  </si>
  <si>
    <r>
      <t>h</t>
    </r>
    <r>
      <rPr>
        <i/>
        <vertAlign val="subscript"/>
        <sz val="12"/>
        <color indexed="8"/>
        <rFont val="Arial"/>
        <family val="2"/>
      </rPr>
      <t>v</t>
    </r>
  </si>
  <si>
    <r>
      <t>h</t>
    </r>
    <r>
      <rPr>
        <i/>
        <vertAlign val="subscript"/>
        <sz val="12"/>
        <color indexed="8"/>
        <rFont val="Arial"/>
        <family val="2"/>
      </rPr>
      <t>p</t>
    </r>
  </si>
  <si>
    <r>
      <t>b</t>
    </r>
    <r>
      <rPr>
        <i/>
        <vertAlign val="subscript"/>
        <sz val="12"/>
        <color indexed="8"/>
        <rFont val="Arial"/>
        <family val="2"/>
      </rPr>
      <t>m</t>
    </r>
  </si>
  <si>
    <r>
      <t>b</t>
    </r>
    <r>
      <rPr>
        <i/>
        <vertAlign val="subscript"/>
        <sz val="12"/>
        <color indexed="8"/>
        <rFont val="Arial"/>
        <family val="2"/>
      </rPr>
      <t>v</t>
    </r>
  </si>
  <si>
    <r>
      <t>b</t>
    </r>
    <r>
      <rPr>
        <i/>
        <vertAlign val="subscript"/>
        <sz val="12"/>
        <color indexed="8"/>
        <rFont val="Arial"/>
        <family val="2"/>
      </rPr>
      <t>p</t>
    </r>
  </si>
  <si>
    <r>
      <t>c</t>
    </r>
    <r>
      <rPr>
        <i/>
        <vertAlign val="subscript"/>
        <sz val="12"/>
        <color indexed="8"/>
        <rFont val="Arial"/>
        <family val="2"/>
      </rPr>
      <t>m</t>
    </r>
  </si>
  <si>
    <r>
      <t>c</t>
    </r>
    <r>
      <rPr>
        <i/>
        <vertAlign val="subscript"/>
        <sz val="12"/>
        <color indexed="8"/>
        <rFont val="Arial"/>
        <family val="2"/>
      </rPr>
      <t>v</t>
    </r>
  </si>
  <si>
    <r>
      <t>c</t>
    </r>
    <r>
      <rPr>
        <i/>
        <vertAlign val="subscript"/>
        <sz val="12"/>
        <color indexed="8"/>
        <rFont val="Arial"/>
        <family val="2"/>
      </rPr>
      <t>p</t>
    </r>
  </si>
  <si>
    <r>
      <t>A</t>
    </r>
    <r>
      <rPr>
        <i/>
        <vertAlign val="subscript"/>
        <sz val="12"/>
        <color indexed="8"/>
        <rFont val="Arial"/>
        <family val="2"/>
      </rPr>
      <t>g, sh</t>
    </r>
  </si>
  <si>
    <r>
      <t>I</t>
    </r>
    <r>
      <rPr>
        <i/>
        <vertAlign val="subscript"/>
        <sz val="12"/>
        <color indexed="8"/>
        <rFont val="Arial"/>
        <family val="2"/>
      </rPr>
      <t>g,y,sh</t>
    </r>
  </si>
  <si>
    <r>
      <t>I</t>
    </r>
    <r>
      <rPr>
        <i/>
        <vertAlign val="subscript"/>
        <sz val="12"/>
        <color indexed="8"/>
        <rFont val="Arial"/>
        <family val="2"/>
      </rPr>
      <t>g,z,sh</t>
    </r>
  </si>
  <si>
    <r>
      <t>i</t>
    </r>
    <r>
      <rPr>
        <i/>
        <vertAlign val="subscript"/>
        <sz val="12"/>
        <color indexed="8"/>
        <rFont val="Arial"/>
        <family val="2"/>
      </rPr>
      <t>g,y,sh</t>
    </r>
  </si>
  <si>
    <r>
      <t>i</t>
    </r>
    <r>
      <rPr>
        <i/>
        <vertAlign val="subscript"/>
        <sz val="12"/>
        <color indexed="8"/>
        <rFont val="Arial"/>
        <family val="2"/>
      </rPr>
      <t>g,z,sh</t>
    </r>
  </si>
  <si>
    <r>
      <t>A</t>
    </r>
    <r>
      <rPr>
        <i/>
        <vertAlign val="subscript"/>
        <sz val="12"/>
        <color indexed="8"/>
        <rFont val="Arial"/>
        <family val="2"/>
      </rPr>
      <t>g</t>
    </r>
  </si>
  <si>
    <r>
      <t>z</t>
    </r>
    <r>
      <rPr>
        <i/>
        <vertAlign val="subscript"/>
        <sz val="12"/>
        <color indexed="8"/>
        <rFont val="Arial"/>
        <family val="2"/>
      </rPr>
      <t>g</t>
    </r>
  </si>
  <si>
    <r>
      <t>I</t>
    </r>
    <r>
      <rPr>
        <i/>
        <vertAlign val="subscript"/>
        <sz val="12"/>
        <color indexed="8"/>
        <rFont val="Arial"/>
        <family val="2"/>
      </rPr>
      <t>g,y</t>
    </r>
  </si>
  <si>
    <r>
      <t>I</t>
    </r>
    <r>
      <rPr>
        <i/>
        <vertAlign val="subscript"/>
        <sz val="12"/>
        <color indexed="8"/>
        <rFont val="Arial"/>
        <family val="2"/>
      </rPr>
      <t>g,z</t>
    </r>
  </si>
  <si>
    <r>
      <t>i</t>
    </r>
    <r>
      <rPr>
        <i/>
        <vertAlign val="subscript"/>
        <sz val="12"/>
        <color indexed="8"/>
        <rFont val="Arial"/>
        <family val="2"/>
      </rPr>
      <t>g,y</t>
    </r>
  </si>
  <si>
    <r>
      <t>i</t>
    </r>
    <r>
      <rPr>
        <i/>
        <vertAlign val="subscript"/>
        <sz val="12"/>
        <color indexed="8"/>
        <rFont val="Arial"/>
        <family val="2"/>
      </rPr>
      <t>g,z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</si>
  <si>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(2 * ((1/12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(4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 + (2 *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h) – c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))²)))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</si>
  <si>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  <r>
      <rPr>
        <i/>
        <sz val="11"/>
        <color indexed="8"/>
        <rFont val="Arial"/>
        <family val="2"/>
      </rPr>
      <t xml:space="preserve"> = (2 * ((1/12 * b * t³) + (b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)²))) + (1/12 * t * (h – (2 * t))³) + (2 * ((1/12 * t * (c – t)³) + (t * (c – t) * ((½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 (½ * t) – (½ * c))²)))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</si>
  <si>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((1/12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 +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((1/12 * 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³) +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 * ((1/12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+ (c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</si>
  <si>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  <r>
      <rPr>
        <i/>
        <sz val="11"/>
        <color indexed="8"/>
        <rFont val="Arial"/>
        <family val="2"/>
      </rPr>
      <t xml:space="preserve"> = (2 * ((1/12 * t * b³) + (t * b * ((½ * b) - y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>)²))) + (2 * ((1/12 * (h – (2 * t)) * t³) + ((h – (2 * t)) * t * (y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– (½ * t))²)))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</si>
  <si>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 1</t>
    </r>
    <r>
      <rPr>
        <i/>
        <sz val="11"/>
        <color indexed="8"/>
        <rFont val="Arial"/>
        <family val="2"/>
      </rPr>
      <t xml:space="preserve"> = 0,5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</si>
  <si>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 2</t>
    </r>
    <r>
      <rPr>
        <i/>
        <sz val="11"/>
        <color indexed="8"/>
        <rFont val="Arial"/>
        <family val="2"/>
      </rPr>
      <t xml:space="preserve"> = 0,5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</si>
  <si>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1,m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</si>
  <si>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2,m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2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</si>
  <si>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1,m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</si>
  <si>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2,m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</si>
  <si>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/ b</t>
    </r>
    <r>
      <rPr>
        <i/>
        <vertAlign val="subscript"/>
        <sz val="11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</si>
  <si>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 xml:space="preserve">eff ,m </t>
    </r>
    <r>
      <rPr>
        <i/>
        <sz val="11"/>
        <color indexed="8"/>
        <rFont val="Arial"/>
        <family val="2"/>
      </rPr>
      <t>= 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</si>
  <si>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 xml:space="preserve">eff ,v </t>
    </r>
    <r>
      <rPr>
        <i/>
        <sz val="11"/>
        <color indexed="8"/>
        <rFont val="Arial"/>
        <family val="2"/>
      </rPr>
      <t>= c</t>
    </r>
    <r>
      <rPr>
        <i/>
        <vertAlign val="subscript"/>
        <sz val="11"/>
        <color indexed="8"/>
        <rFont val="Arial"/>
        <family val="2"/>
      </rPr>
      <t>eff 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</si>
  <si>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1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+ (2 *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- e</t>
    </r>
    <r>
      <rPr>
        <i/>
        <vertAlign val="subscript"/>
        <sz val="11"/>
        <color indexed="8"/>
        <rFont val="Arial"/>
        <family val="2"/>
      </rPr>
      <t>b</t>
    </r>
  </si>
  <si>
    <r>
      <t>b</t>
    </r>
    <r>
      <rPr>
        <i/>
        <vertAlign val="sub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+ (2 *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- e</t>
    </r>
    <r>
      <rPr>
        <i/>
        <vertAlign val="subscript"/>
        <sz val="11"/>
        <color indexed="8"/>
        <rFont val="Arial"/>
        <family val="2"/>
      </rPr>
      <t>b</t>
    </r>
  </si>
  <si>
    <r>
      <t>I</t>
    </r>
    <r>
      <rPr>
        <i/>
        <vertAlign val="subscript"/>
        <sz val="11"/>
        <color indexed="8"/>
        <rFont val="Arial"/>
        <family val="2"/>
      </rPr>
      <t>s</t>
    </r>
    <r>
      <rPr>
        <i/>
        <sz val="11"/>
        <color indexed="8"/>
        <rFont val="Arial"/>
        <family val="2"/>
      </rPr>
      <t xml:space="preserve"> = (b</t>
    </r>
    <r>
      <rPr>
        <i/>
        <vertAlign val="subscript"/>
        <sz val="11"/>
        <color indexed="8"/>
        <rFont val="Arial"/>
        <family val="2"/>
      </rPr>
      <t xml:space="preserve">eff 2,v </t>
    </r>
    <r>
      <rPr>
        <i/>
        <sz val="11"/>
        <color indexed="8"/>
        <rFont val="Arial"/>
        <family val="2"/>
      </rPr>
      <t>* t * (e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>) +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 * (e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>) + (1/12) * t * c</t>
    </r>
    <r>
      <rPr>
        <i/>
        <vertAlign val="subscript"/>
        <sz val="11"/>
        <color indexed="8"/>
        <rFont val="Arial"/>
        <family val="2"/>
      </rPr>
      <t>eff ,v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+ t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(0,5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– 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</si>
  <si>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+ (b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t) + A</t>
    </r>
    <r>
      <rPr>
        <i/>
        <vertAlign val="subscript"/>
        <sz val="11"/>
        <color indexed="8"/>
        <rFont val="Arial"/>
        <family val="2"/>
      </rPr>
      <t>s, red</t>
    </r>
  </si>
  <si>
    <r>
      <t>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((t / 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* (((2 *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((2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>) * ((½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)))) + ((t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* (((2 * 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((½ * 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+ ((2 *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(2 * c</t>
    </r>
    <r>
      <rPr>
        <i/>
        <vertAlign val="subscript"/>
        <sz val="11"/>
        <color indexed="8"/>
        <rFont val="Arial"/>
        <family val="2"/>
      </rPr>
      <t>eff,v</t>
    </r>
    <r>
      <rPr>
        <i/>
        <sz val="11"/>
        <color indexed="8"/>
        <rFont val="Arial"/>
        <family val="2"/>
      </rPr>
      <t xml:space="preserve">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</t>
    </r>
  </si>
  <si>
    <r>
      <t>e</t>
    </r>
    <r>
      <rPr>
        <i/>
        <vertAlign val="subscript"/>
        <sz val="11"/>
        <color indexed="8"/>
        <rFont val="Arial"/>
        <family val="2"/>
      </rPr>
      <t>NZ</t>
    </r>
    <r>
      <rPr>
        <i/>
        <sz val="11"/>
        <color indexed="8"/>
        <rFont val="Arial"/>
        <family val="2"/>
      </rPr>
      <t xml:space="preserve"> =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-y</t>
    </r>
    <r>
      <rPr>
        <i/>
        <vertAlign val="subscript"/>
        <sz val="11"/>
        <color indexed="8"/>
        <rFont val="Arial"/>
        <family val="2"/>
      </rPr>
      <t xml:space="preserve">g </t>
    </r>
  </si>
  <si>
    <r>
      <t>h</t>
    </r>
    <r>
      <rPr>
        <i/>
        <vertAlign val="subscript"/>
        <sz val="12"/>
        <color indexed="8"/>
        <rFont val="Arial"/>
        <family val="2"/>
      </rPr>
      <t>m</t>
    </r>
    <r>
      <rPr>
        <i/>
        <sz val="12"/>
        <color indexed="8"/>
        <rFont val="Arial"/>
        <family val="2"/>
      </rPr>
      <t>=h</t>
    </r>
    <r>
      <rPr>
        <i/>
        <vertAlign val="subscript"/>
        <sz val="12"/>
        <color indexed="8"/>
        <rFont val="Arial"/>
        <family val="2"/>
      </rPr>
      <t>w</t>
    </r>
  </si>
  <si>
    <r>
      <t>ρ</t>
    </r>
    <r>
      <rPr>
        <sz val="11"/>
        <color indexed="8"/>
        <rFont val="Mathematica1"/>
        <charset val="2"/>
      </rPr>
      <t>£</t>
    </r>
    <r>
      <rPr>
        <sz val="11"/>
        <color indexed="8"/>
        <rFont val="Arial"/>
        <family val="2"/>
      </rPr>
      <t>1</t>
    </r>
  </si>
  <si>
    <r>
      <t>A</t>
    </r>
    <r>
      <rPr>
        <i/>
        <vertAlign val="subscript"/>
        <sz val="11"/>
        <color indexed="8"/>
        <rFont val="Arial"/>
        <family val="2"/>
      </rPr>
      <t>s,red</t>
    </r>
    <r>
      <rPr>
        <sz val="11"/>
        <color indexed="8"/>
        <rFont val="Mathematica1"/>
        <charset val="2"/>
      </rPr>
      <t>£A</t>
    </r>
    <r>
      <rPr>
        <vertAlign val="subscript"/>
        <sz val="11"/>
        <color indexed="8"/>
        <rFont val="Arial"/>
        <family val="2"/>
      </rPr>
      <t>s</t>
    </r>
  </si>
  <si>
    <t>(lijf)</t>
  </si>
  <si>
    <t>(flens)</t>
  </si>
  <si>
    <t>(lip)</t>
  </si>
  <si>
    <t>Bepaling eigenschappen effectieve profieldoorsnede</t>
  </si>
  <si>
    <t>Bepaling effectieve doorsnede van plaatdelen</t>
  </si>
  <si>
    <t>afrondingsstraal</t>
  </si>
  <si>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</si>
  <si>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erial"/>
      </rPr>
      <t>r</t>
    </r>
    <r>
      <rPr>
        <i/>
        <sz val="11"/>
        <color indexed="8"/>
        <rFont val="Arial"/>
        <family val="2"/>
      </rPr>
      <t>*t</t>
    </r>
  </si>
  <si>
    <t>C - N: Berekening effectieve profieldoorsnede</t>
  </si>
  <si>
    <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 xml:space="preserve"> r</t>
    </r>
    <r>
      <rPr>
        <i/>
        <sz val="11"/>
        <color indexed="8"/>
        <rFont val="Arial"/>
        <family val="2"/>
      </rPr>
      <t>*t</t>
    </r>
  </si>
  <si>
    <r>
      <t>A</t>
    </r>
    <r>
      <rPr>
        <i/>
        <vertAlign val="subscript"/>
        <sz val="11"/>
        <color indexed="8"/>
        <rFont val="Arial"/>
        <family val="2"/>
      </rPr>
      <t>s</t>
    </r>
    <r>
      <rPr>
        <i/>
        <sz val="11"/>
        <color indexed="8"/>
        <rFont val="Arial"/>
        <family val="2"/>
      </rPr>
      <t xml:space="preserve"> = (b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+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+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* t</t>
    </r>
  </si>
  <si>
    <r>
      <t>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 xml:space="preserve"> = (((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* ((0,5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* t) / A</t>
    </r>
    <r>
      <rPr>
        <i/>
        <vertAlign val="subscript"/>
        <sz val="11"/>
        <color indexed="8"/>
        <rFont val="Arial"/>
        <family val="2"/>
      </rPr>
      <t>s</t>
    </r>
  </si>
  <si>
    <r>
      <t>e</t>
    </r>
    <r>
      <rPr>
        <i/>
        <vertAlign val="subscript"/>
        <sz val="11"/>
        <color indexed="8"/>
        <rFont val="Arial"/>
        <family val="2"/>
      </rPr>
      <t>b</t>
    </r>
    <r>
      <rPr>
        <i/>
        <sz val="11"/>
        <color indexed="8"/>
        <rFont val="Arial"/>
        <family val="2"/>
      </rPr>
      <t xml:space="preserve"> = (((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* ((0,5 * 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* t) / A</t>
    </r>
    <r>
      <rPr>
        <i/>
        <vertAlign val="subscript"/>
        <sz val="11"/>
        <color indexed="8"/>
        <rFont val="Arial"/>
        <family val="2"/>
      </rPr>
      <t>s</t>
    </r>
  </si>
  <si>
    <t xml:space="preserve">OUTPUT </t>
  </si>
  <si>
    <r>
      <t>h</t>
    </r>
    <r>
      <rPr>
        <i/>
        <vertAlign val="subscript"/>
        <sz val="11"/>
        <color indexed="8"/>
        <rFont val="Arial"/>
        <family val="2"/>
      </rPr>
      <t>eff1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e1</t>
    </r>
    <r>
      <rPr>
        <i/>
        <sz val="11"/>
        <color indexed="8"/>
        <rFont val="Arial"/>
        <family val="2"/>
      </rPr>
      <t xml:space="preserve"> = 0,4 * b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</si>
  <si>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>eff2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e2</t>
    </r>
    <r>
      <rPr>
        <i/>
        <sz val="11"/>
        <color indexed="8"/>
        <rFont val="Arial"/>
        <family val="2"/>
      </rPr>
      <t xml:space="preserve"> = 0,6 * b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</si>
  <si>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>eff1,m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eff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</si>
  <si>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>eff2,m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eff1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</si>
  <si>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 xml:space="preserve">eff1,m </t>
    </r>
    <r>
      <rPr>
        <i/>
        <sz val="11"/>
        <color indexed="8"/>
        <rFont val="Arial"/>
        <family val="2"/>
      </rPr>
      <t>-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</si>
  <si>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eff2,v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</t>
    </r>
    <r>
      <rPr>
        <i/>
        <vertAlign val="sub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= 0,6 * b</t>
    </r>
    <r>
      <rPr>
        <i/>
        <vertAlign val="subscript"/>
        <sz val="11"/>
        <color indexed="8"/>
        <rFont val="Arial"/>
        <family val="2"/>
      </rPr>
      <t>eff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</si>
</sst>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36"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i/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sz val="11"/>
      <color indexed="10"/>
      <name val="Arial"/>
      <family val="2"/>
    </font>
    <font>
      <sz val="11"/>
      <color indexed="30"/>
      <name val="Arial"/>
      <family val="2"/>
    </font>
    <font>
      <u/>
      <sz val="11"/>
      <color indexed="8"/>
      <name val="Arial"/>
      <family val="2"/>
    </font>
    <font>
      <b/>
      <sz val="14"/>
      <color indexed="8"/>
      <name val="Arial"/>
      <family val="2"/>
    </font>
    <font>
      <sz val="12.65"/>
      <color indexed="8"/>
      <name val="Arial"/>
      <family val="2"/>
    </font>
    <font>
      <sz val="12"/>
      <color indexed="8"/>
      <name val="Arial"/>
      <family val="2"/>
    </font>
    <font>
      <i/>
      <vertAlign val="subscript"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9"/>
      <name val="Arial"/>
      <family val="2"/>
    </font>
    <font>
      <i/>
      <sz val="9"/>
      <color indexed="8"/>
      <name val="Arial"/>
      <family val="2"/>
    </font>
    <font>
      <b/>
      <sz val="30"/>
      <color indexed="8"/>
      <name val="Calibri"/>
      <family val="2"/>
    </font>
    <font>
      <sz val="11"/>
      <color indexed="40"/>
      <name val="Arial"/>
      <family val="2"/>
    </font>
    <font>
      <sz val="11"/>
      <color indexed="9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6"/>
      <color indexed="8"/>
      <name val="Calibri"/>
      <family val="2"/>
    </font>
    <font>
      <b/>
      <sz val="16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indexed="8"/>
      <name val="Calibri"/>
      <family val="2"/>
    </font>
    <font>
      <i/>
      <sz val="12"/>
      <color indexed="8"/>
      <name val="Arial"/>
      <family val="2"/>
    </font>
    <font>
      <i/>
      <sz val="16"/>
      <color indexed="8"/>
      <name val="Mistral"/>
      <family val="4"/>
    </font>
    <font>
      <i/>
      <vertAlign val="subscript"/>
      <sz val="11"/>
      <color indexed="8"/>
      <name val="Times New Roman"/>
      <family val="1"/>
    </font>
    <font>
      <b/>
      <sz val="20"/>
      <color indexed="8"/>
      <name val="Calibri"/>
      <family val="2"/>
    </font>
    <font>
      <b/>
      <sz val="20"/>
      <color indexed="8"/>
      <name val="Arial"/>
      <family val="2"/>
    </font>
    <font>
      <i/>
      <vertAlign val="superscript"/>
      <sz val="11"/>
      <color indexed="8"/>
      <name val="Arial"/>
      <family val="2"/>
    </font>
    <font>
      <sz val="11"/>
      <color indexed="8"/>
      <name val="Mathematica1"/>
      <charset val="2"/>
    </font>
    <font>
      <vertAlign val="subscript"/>
      <sz val="11"/>
      <color indexed="8"/>
      <name val="Arial"/>
      <family val="2"/>
    </font>
    <font>
      <i/>
      <sz val="11"/>
      <color indexed="8"/>
      <name val="Mistral"/>
      <family val="4"/>
    </font>
    <font>
      <i/>
      <vertAlign val="subscript"/>
      <sz val="11"/>
      <color indexed="8"/>
      <name val="Aerial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Fill="1" applyBorder="1"/>
    <xf numFmtId="0" fontId="1" fillId="0" borderId="0" xfId="0" applyFont="1"/>
    <xf numFmtId="0" fontId="1" fillId="0" borderId="0" xfId="0" applyFont="1" applyFill="1" applyBorder="1"/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4" fillId="0" borderId="0" xfId="0" applyFont="1" applyBorder="1"/>
    <xf numFmtId="0" fontId="3" fillId="0" borderId="0" xfId="0" applyFont="1" applyFill="1" applyBorder="1" applyProtection="1"/>
    <xf numFmtId="0" fontId="7" fillId="0" borderId="0" xfId="0" applyFont="1" applyFill="1" applyBorder="1"/>
    <xf numFmtId="0" fontId="1" fillId="0" borderId="3" xfId="0" applyFont="1" applyFill="1" applyBorder="1"/>
    <xf numFmtId="0" fontId="3" fillId="0" borderId="3" xfId="0" applyFont="1" applyFill="1" applyBorder="1" applyProtection="1"/>
    <xf numFmtId="0" fontId="1" fillId="0" borderId="4" xfId="0" applyFont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2" xfId="0" applyFont="1" applyBorder="1"/>
    <xf numFmtId="0" fontId="1" fillId="0" borderId="6" xfId="0" applyFont="1" applyBorder="1"/>
    <xf numFmtId="0" fontId="2" fillId="0" borderId="1" xfId="0" applyFont="1" applyFill="1" applyBorder="1"/>
    <xf numFmtId="0" fontId="1" fillId="0" borderId="2" xfId="0" applyFont="1" applyFill="1" applyBorder="1"/>
    <xf numFmtId="0" fontId="3" fillId="0" borderId="2" xfId="0" applyFont="1" applyFill="1" applyBorder="1" applyProtection="1"/>
    <xf numFmtId="0" fontId="2" fillId="0" borderId="7" xfId="0" applyFont="1" applyFill="1" applyBorder="1"/>
    <xf numFmtId="0" fontId="1" fillId="0" borderId="6" xfId="0" applyFont="1" applyFill="1" applyBorder="1"/>
    <xf numFmtId="0" fontId="1" fillId="0" borderId="8" xfId="0" applyFont="1" applyFill="1" applyBorder="1"/>
    <xf numFmtId="2" fontId="8" fillId="0" borderId="0" xfId="0" applyNumberFormat="1" applyFont="1" applyFill="1" applyBorder="1"/>
    <xf numFmtId="0" fontId="7" fillId="0" borderId="0" xfId="0" applyFont="1" applyFill="1" applyBorder="1" applyProtection="1"/>
    <xf numFmtId="0" fontId="0" fillId="0" borderId="0" xfId="0" applyFill="1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Fill="1"/>
    <xf numFmtId="0" fontId="12" fillId="0" borderId="0" xfId="0" applyFont="1"/>
    <xf numFmtId="0" fontId="12" fillId="0" borderId="0" xfId="0" applyFont="1" applyBorder="1"/>
    <xf numFmtId="0" fontId="12" fillId="0" borderId="0" xfId="0" applyFont="1" applyFill="1"/>
    <xf numFmtId="0" fontId="7" fillId="0" borderId="0" xfId="0" applyFont="1"/>
    <xf numFmtId="0" fontId="1" fillId="0" borderId="9" xfId="0" quotePrefix="1" applyFont="1" applyBorder="1" applyAlignment="1">
      <alignment horizontal="left"/>
    </xf>
    <xf numFmtId="0" fontId="2" fillId="0" borderId="0" xfId="0" applyFont="1" applyFill="1"/>
    <xf numFmtId="2" fontId="1" fillId="0" borderId="0" xfId="0" applyNumberFormat="1" applyFont="1" applyAlignment="1">
      <alignment horizontal="left"/>
    </xf>
    <xf numFmtId="0" fontId="0" fillId="0" borderId="3" xfId="0" applyBorder="1"/>
    <xf numFmtId="0" fontId="1" fillId="0" borderId="3" xfId="0" applyFont="1" applyBorder="1"/>
    <xf numFmtId="0" fontId="2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0" fillId="0" borderId="10" xfId="0" applyFont="1" applyFill="1" applyBorder="1"/>
    <xf numFmtId="0" fontId="3" fillId="0" borderId="11" xfId="0" applyFont="1" applyFill="1" applyBorder="1"/>
    <xf numFmtId="0" fontId="10" fillId="0" borderId="10" xfId="0" applyFont="1" applyBorder="1"/>
    <xf numFmtId="0" fontId="1" fillId="0" borderId="11" xfId="0" applyFont="1" applyFill="1" applyBorder="1"/>
    <xf numFmtId="2" fontId="1" fillId="0" borderId="0" xfId="0" applyNumberFormat="1" applyFont="1" applyFill="1" applyBorder="1"/>
    <xf numFmtId="0" fontId="7" fillId="0" borderId="0" xfId="0" applyFont="1" applyFill="1" applyBorder="1" applyAlignment="1" applyProtection="1">
      <alignment horizontal="left"/>
    </xf>
    <xf numFmtId="0" fontId="7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8" xfId="0" applyBorder="1"/>
    <xf numFmtId="0" fontId="14" fillId="0" borderId="0" xfId="0" applyFont="1" applyBorder="1"/>
    <xf numFmtId="0" fontId="0" fillId="0" borderId="4" xfId="0" applyBorder="1"/>
    <xf numFmtId="0" fontId="1" fillId="0" borderId="0" xfId="0" applyFont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3" fillId="0" borderId="16" xfId="0" applyFont="1" applyFill="1" applyBorder="1"/>
    <xf numFmtId="1" fontId="3" fillId="0" borderId="9" xfId="0" applyNumberFormat="1" applyFont="1" applyFill="1" applyBorder="1"/>
    <xf numFmtId="0" fontId="3" fillId="0" borderId="9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2" fontId="1" fillId="0" borderId="16" xfId="0" applyNumberFormat="1" applyFont="1" applyFill="1" applyBorder="1"/>
    <xf numFmtId="2" fontId="1" fillId="0" borderId="9" xfId="0" applyNumberFormat="1" applyFont="1" applyFill="1" applyBorder="1"/>
    <xf numFmtId="2" fontId="1" fillId="0" borderId="17" xfId="0" applyNumberFormat="1" applyFont="1" applyFill="1" applyBorder="1"/>
    <xf numFmtId="2" fontId="1" fillId="0" borderId="18" xfId="0" applyNumberFormat="1" applyFont="1" applyFill="1" applyBorder="1"/>
    <xf numFmtId="2" fontId="1" fillId="0" borderId="19" xfId="0" applyNumberFormat="1" applyFont="1" applyFill="1" applyBorder="1"/>
    <xf numFmtId="2" fontId="1" fillId="0" borderId="20" xfId="0" applyNumberFormat="1" applyFont="1" applyFill="1" applyBorder="1"/>
    <xf numFmtId="164" fontId="0" fillId="0" borderId="0" xfId="0" applyNumberFormat="1" applyAlignment="1"/>
    <xf numFmtId="0" fontId="1" fillId="0" borderId="9" xfId="0" applyFont="1" applyFill="1" applyBorder="1"/>
    <xf numFmtId="0" fontId="1" fillId="0" borderId="9" xfId="0" applyFont="1" applyBorder="1"/>
    <xf numFmtId="2" fontId="1" fillId="0" borderId="9" xfId="0" applyNumberFormat="1" applyFont="1" applyFill="1" applyBorder="1" applyAlignment="1">
      <alignment horizontal="right"/>
    </xf>
    <xf numFmtId="0" fontId="15" fillId="0" borderId="0" xfId="0" applyFont="1"/>
    <xf numFmtId="0" fontId="1" fillId="0" borderId="8" xfId="0" applyFont="1" applyBorder="1"/>
    <xf numFmtId="0" fontId="15" fillId="0" borderId="0" xfId="0" applyFont="1" applyAlignment="1"/>
    <xf numFmtId="0" fontId="1" fillId="0" borderId="14" xfId="0" applyFont="1" applyFill="1" applyBorder="1"/>
    <xf numFmtId="0" fontId="1" fillId="0" borderId="14" xfId="0" applyFont="1" applyBorder="1"/>
    <xf numFmtId="0" fontId="12" fillId="0" borderId="0" xfId="0" applyFont="1" applyAlignment="1">
      <alignment horizontal="center"/>
    </xf>
    <xf numFmtId="0" fontId="9" fillId="0" borderId="3" xfId="0" applyFont="1" applyBorder="1"/>
    <xf numFmtId="165" fontId="2" fillId="0" borderId="0" xfId="0" applyNumberFormat="1" applyFont="1" applyBorder="1"/>
    <xf numFmtId="0" fontId="17" fillId="0" borderId="0" xfId="0" applyFont="1" applyAlignment="1">
      <alignment vertical="center" textRotation="90"/>
    </xf>
    <xf numFmtId="0" fontId="1" fillId="0" borderId="0" xfId="0" applyFont="1" applyFill="1" applyBorder="1" applyAlignment="1"/>
    <xf numFmtId="0" fontId="0" fillId="0" borderId="0" xfId="0" applyBorder="1" applyAlignment="1">
      <alignment horizontal="left"/>
    </xf>
    <xf numFmtId="0" fontId="2" fillId="0" borderId="3" xfId="0" applyFont="1" applyFill="1" applyBorder="1"/>
    <xf numFmtId="0" fontId="3" fillId="0" borderId="3" xfId="0" applyFont="1" applyFill="1" applyBorder="1"/>
    <xf numFmtId="0" fontId="0" fillId="0" borderId="5" xfId="0" applyBorder="1"/>
    <xf numFmtId="0" fontId="0" fillId="0" borderId="23" xfId="0" applyBorder="1"/>
    <xf numFmtId="0" fontId="0" fillId="0" borderId="24" xfId="0" applyBorder="1"/>
    <xf numFmtId="0" fontId="1" fillId="0" borderId="24" xfId="0" applyFont="1" applyFill="1" applyBorder="1"/>
    <xf numFmtId="0" fontId="2" fillId="0" borderId="24" xfId="0" applyFont="1" applyFill="1" applyBorder="1"/>
    <xf numFmtId="0" fontId="1" fillId="0" borderId="25" xfId="0" applyFont="1" applyFill="1" applyBorder="1"/>
    <xf numFmtId="0" fontId="1" fillId="0" borderId="0" xfId="0" applyFont="1" applyFill="1" applyBorder="1" applyAlignment="1">
      <alignment horizontal="left"/>
    </xf>
    <xf numFmtId="0" fontId="12" fillId="0" borderId="0" xfId="0" applyFont="1" applyAlignment="1">
      <alignment horizontal="left"/>
    </xf>
    <xf numFmtId="0" fontId="2" fillId="0" borderId="0" xfId="0" applyFont="1" applyFill="1" applyBorder="1" applyAlignment="1"/>
    <xf numFmtId="2" fontId="2" fillId="0" borderId="0" xfId="0" applyNumberFormat="1" applyFont="1" applyFill="1" applyBorder="1" applyAlignment="1"/>
    <xf numFmtId="0" fontId="1" fillId="0" borderId="15" xfId="0" applyFont="1" applyFill="1" applyBorder="1"/>
    <xf numFmtId="0" fontId="16" fillId="0" borderId="0" xfId="0" applyFont="1" applyBorder="1" applyAlignment="1">
      <alignment vertical="center"/>
    </xf>
    <xf numFmtId="0" fontId="1" fillId="0" borderId="0" xfId="0" applyFont="1" applyBorder="1" applyAlignment="1"/>
    <xf numFmtId="2" fontId="1" fillId="0" borderId="17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26" xfId="0" quotePrefix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9" fillId="0" borderId="1" xfId="0" applyFont="1" applyBorder="1" applyAlignment="1"/>
    <xf numFmtId="0" fontId="9" fillId="0" borderId="0" xfId="0" applyFont="1" applyBorder="1" applyAlignment="1"/>
    <xf numFmtId="0" fontId="18" fillId="0" borderId="1" xfId="0" applyFont="1" applyFill="1" applyBorder="1"/>
    <xf numFmtId="0" fontId="19" fillId="0" borderId="0" xfId="0" applyFont="1"/>
    <xf numFmtId="164" fontId="1" fillId="0" borderId="0" xfId="0" applyNumberFormat="1" applyFont="1" applyBorder="1"/>
    <xf numFmtId="0" fontId="7" fillId="0" borderId="0" xfId="0" applyFont="1" applyBorder="1"/>
    <xf numFmtId="0" fontId="16" fillId="0" borderId="0" xfId="0" applyFont="1" applyBorder="1" applyAlignment="1">
      <alignment horizontal="left" vertical="center"/>
    </xf>
    <xf numFmtId="166" fontId="0" fillId="0" borderId="0" xfId="0" applyNumberFormat="1" applyBorder="1"/>
    <xf numFmtId="166" fontId="1" fillId="0" borderId="0" xfId="0" applyNumberFormat="1" applyFont="1" applyBorder="1"/>
    <xf numFmtId="0" fontId="2" fillId="0" borderId="0" xfId="0" applyFont="1" applyFill="1" applyBorder="1" applyAlignment="1">
      <alignment horizontal="left"/>
    </xf>
    <xf numFmtId="0" fontId="1" fillId="0" borderId="17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6" fillId="0" borderId="7" xfId="0" applyFont="1" applyFill="1" applyBorder="1"/>
    <xf numFmtId="0" fontId="1" fillId="0" borderId="26" xfId="0" applyFont="1" applyFill="1" applyBorder="1"/>
    <xf numFmtId="0" fontId="1" fillId="0" borderId="26" xfId="0" applyFont="1" applyBorder="1"/>
    <xf numFmtId="0" fontId="9" fillId="0" borderId="0" xfId="0" applyFont="1" applyFill="1" applyBorder="1" applyAlignment="1"/>
    <xf numFmtId="0" fontId="1" fillId="0" borderId="0" xfId="0" quotePrefix="1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0" fontId="2" fillId="0" borderId="26" xfId="0" applyFont="1" applyBorder="1"/>
    <xf numFmtId="2" fontId="1" fillId="0" borderId="26" xfId="0" applyNumberFormat="1" applyFont="1" applyFill="1" applyBorder="1"/>
    <xf numFmtId="0" fontId="12" fillId="0" borderId="0" xfId="0" applyFont="1" applyFill="1" applyBorder="1"/>
    <xf numFmtId="0" fontId="10" fillId="0" borderId="0" xfId="0" applyFont="1" applyFill="1" applyBorder="1"/>
    <xf numFmtId="0" fontId="16" fillId="0" borderId="0" xfId="0" applyFont="1" applyFill="1" applyBorder="1"/>
    <xf numFmtId="164" fontId="0" fillId="0" borderId="0" xfId="0" applyNumberFormat="1" applyBorder="1" applyAlignment="1"/>
    <xf numFmtId="164" fontId="8" fillId="0" borderId="2" xfId="0" applyNumberFormat="1" applyFont="1" applyFill="1" applyBorder="1"/>
    <xf numFmtId="0" fontId="1" fillId="0" borderId="9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2" fontId="8" fillId="0" borderId="0" xfId="0" applyNumberFormat="1" applyFont="1" applyBorder="1"/>
    <xf numFmtId="0" fontId="1" fillId="0" borderId="31" xfId="0" applyFont="1" applyFill="1" applyBorder="1"/>
    <xf numFmtId="0" fontId="0" fillId="0" borderId="27" xfId="0" applyBorder="1"/>
    <xf numFmtId="0" fontId="1" fillId="0" borderId="28" xfId="0" applyFont="1" applyFill="1" applyBorder="1"/>
    <xf numFmtId="1" fontId="21" fillId="0" borderId="1" xfId="0" applyNumberFormat="1" applyFont="1" applyFill="1" applyBorder="1" applyAlignment="1">
      <alignment horizontal="left"/>
    </xf>
    <xf numFmtId="1" fontId="21" fillId="0" borderId="0" xfId="0" applyNumberFormat="1" applyFont="1" applyAlignment="1">
      <alignment vertical="center" textRotation="90"/>
    </xf>
    <xf numFmtId="0" fontId="21" fillId="0" borderId="1" xfId="0" applyFont="1" applyFill="1" applyBorder="1" applyAlignment="1">
      <alignment horizontal="left"/>
    </xf>
    <xf numFmtId="1" fontId="21" fillId="0" borderId="0" xfId="0" applyNumberFormat="1" applyFont="1" applyAlignment="1">
      <alignment horizontal="left" vertical="center"/>
    </xf>
    <xf numFmtId="0" fontId="20" fillId="0" borderId="0" xfId="0" applyFont="1" applyAlignment="1">
      <alignment vertical="center" textRotation="90"/>
    </xf>
    <xf numFmtId="0" fontId="19" fillId="0" borderId="0" xfId="0" applyFont="1" applyAlignment="1">
      <alignment horizontal="left" vertical="center"/>
    </xf>
    <xf numFmtId="164" fontId="1" fillId="0" borderId="9" xfId="0" applyNumberFormat="1" applyFont="1" applyFill="1" applyBorder="1"/>
    <xf numFmtId="164" fontId="1" fillId="0" borderId="0" xfId="0" applyNumberFormat="1" applyFont="1" applyFill="1"/>
    <xf numFmtId="164" fontId="1" fillId="0" borderId="0" xfId="0" applyNumberFormat="1" applyFont="1" applyFill="1" applyBorder="1"/>
    <xf numFmtId="0" fontId="3" fillId="0" borderId="0" xfId="0" applyFont="1" applyFill="1" applyBorder="1"/>
    <xf numFmtId="0" fontId="24" fillId="0" borderId="1" xfId="0" applyFont="1" applyFill="1" applyBorder="1"/>
    <xf numFmtId="0" fontId="24" fillId="0" borderId="0" xfId="0" applyFont="1" applyFill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/>
    </xf>
    <xf numFmtId="0" fontId="24" fillId="0" borderId="7" xfId="0" applyFont="1" applyFill="1" applyBorder="1"/>
    <xf numFmtId="0" fontId="24" fillId="0" borderId="1" xfId="0" applyFont="1" applyBorder="1"/>
    <xf numFmtId="0" fontId="24" fillId="0" borderId="5" xfId="0" applyFont="1" applyBorder="1"/>
    <xf numFmtId="0" fontId="24" fillId="0" borderId="5" xfId="0" applyFont="1" applyFill="1" applyBorder="1"/>
    <xf numFmtId="0" fontId="27" fillId="0" borderId="1" xfId="0" applyFont="1" applyBorder="1"/>
    <xf numFmtId="0" fontId="24" fillId="0" borderId="13" xfId="0" applyFont="1" applyFill="1" applyBorder="1"/>
    <xf numFmtId="0" fontId="24" fillId="0" borderId="14" xfId="0" applyFont="1" applyFill="1" applyBorder="1"/>
    <xf numFmtId="0" fontId="24" fillId="0" borderId="15" xfId="0" applyFont="1" applyFill="1" applyBorder="1"/>
    <xf numFmtId="0" fontId="24" fillId="0" borderId="26" xfId="0" applyFont="1" applyBorder="1" applyAlignment="1">
      <alignment horizontal="left"/>
    </xf>
    <xf numFmtId="0" fontId="24" fillId="0" borderId="9" xfId="0" applyFont="1" applyFill="1" applyBorder="1"/>
    <xf numFmtId="0" fontId="24" fillId="0" borderId="9" xfId="0" applyFont="1" applyBorder="1"/>
    <xf numFmtId="0" fontId="24" fillId="0" borderId="26" xfId="0" applyFont="1" applyFill="1" applyBorder="1" applyAlignment="1">
      <alignment horizontal="left"/>
    </xf>
    <xf numFmtId="0" fontId="24" fillId="0" borderId="9" xfId="0" applyFont="1" applyBorder="1" applyAlignment="1">
      <alignment horizontal="left"/>
    </xf>
    <xf numFmtId="0" fontId="24" fillId="0" borderId="26" xfId="0" applyFont="1" applyFill="1" applyBorder="1"/>
    <xf numFmtId="0" fontId="24" fillId="0" borderId="9" xfId="0" applyFont="1" applyFill="1" applyBorder="1" applyAlignment="1">
      <alignment horizontal="left"/>
    </xf>
    <xf numFmtId="0" fontId="24" fillId="0" borderId="17" xfId="0" applyFont="1" applyBorder="1" applyAlignment="1">
      <alignment horizontal="left"/>
    </xf>
    <xf numFmtId="0" fontId="0" fillId="0" borderId="0" xfId="0" applyNumberFormat="1"/>
    <xf numFmtId="0" fontId="24" fillId="0" borderId="0" xfId="0" applyFont="1" applyFill="1" applyBorder="1" applyAlignment="1">
      <alignment horizontal="right"/>
    </xf>
    <xf numFmtId="0" fontId="25" fillId="0" borderId="1" xfId="0" applyFont="1" applyBorder="1"/>
    <xf numFmtId="0" fontId="24" fillId="0" borderId="1" xfId="0" applyFont="1" applyBorder="1" applyAlignment="1">
      <alignment horizontal="left"/>
    </xf>
    <xf numFmtId="0" fontId="29" fillId="0" borderId="0" xfId="0" applyFont="1"/>
    <xf numFmtId="0" fontId="30" fillId="0" borderId="0" xfId="0" applyFont="1"/>
    <xf numFmtId="0" fontId="0" fillId="0" borderId="0" xfId="0" applyFont="1"/>
    <xf numFmtId="0" fontId="3" fillId="0" borderId="0" xfId="0" applyFont="1"/>
    <xf numFmtId="0" fontId="3" fillId="0" borderId="0" xfId="0" applyFont="1" applyAlignment="1"/>
    <xf numFmtId="0" fontId="24" fillId="0" borderId="0" xfId="0" applyFont="1"/>
    <xf numFmtId="0" fontId="2" fillId="0" borderId="7" xfId="0" applyFont="1" applyBorder="1"/>
    <xf numFmtId="0" fontId="2" fillId="0" borderId="3" xfId="0" applyFont="1" applyBorder="1"/>
    <xf numFmtId="0" fontId="24" fillId="0" borderId="30" xfId="0" applyFont="1" applyBorder="1"/>
    <xf numFmtId="0" fontId="24" fillId="0" borderId="21" xfId="0" applyFont="1" applyFill="1" applyBorder="1"/>
    <xf numFmtId="0" fontId="24" fillId="0" borderId="21" xfId="0" applyFont="1" applyBorder="1"/>
    <xf numFmtId="0" fontId="24" fillId="0" borderId="22" xfId="0" applyFont="1" applyBorder="1"/>
    <xf numFmtId="0" fontId="24" fillId="0" borderId="17" xfId="0" applyFont="1" applyFill="1" applyBorder="1"/>
    <xf numFmtId="0" fontId="26" fillId="0" borderId="5" xfId="0" applyFont="1" applyFill="1" applyBorder="1"/>
    <xf numFmtId="0" fontId="26" fillId="0" borderId="1" xfId="0" applyFont="1" applyFill="1" applyBorder="1"/>
    <xf numFmtId="0" fontId="26" fillId="0" borderId="14" xfId="0" applyFont="1" applyFill="1" applyBorder="1"/>
    <xf numFmtId="0" fontId="26" fillId="0" borderId="15" xfId="0" applyFont="1" applyFill="1" applyBorder="1"/>
    <xf numFmtId="0" fontId="26" fillId="0" borderId="21" xfId="0" applyFont="1" applyBorder="1"/>
    <xf numFmtId="0" fontId="26" fillId="0" borderId="22" xfId="0" applyFont="1" applyBorder="1"/>
    <xf numFmtId="0" fontId="26" fillId="0" borderId="9" xfId="0" applyFont="1" applyFill="1" applyBorder="1"/>
    <xf numFmtId="0" fontId="26" fillId="0" borderId="17" xfId="0" applyFont="1" applyFill="1" applyBorder="1"/>
    <xf numFmtId="0" fontId="24" fillId="0" borderId="0" xfId="0" applyFont="1" applyBorder="1" applyAlignment="1">
      <alignment vertical="center"/>
    </xf>
    <xf numFmtId="0" fontId="0" fillId="0" borderId="0" xfId="0" applyFont="1" applyBorder="1"/>
    <xf numFmtId="0" fontId="24" fillId="0" borderId="0" xfId="0" applyFont="1" applyBorder="1" applyAlignment="1">
      <alignment horizontal="left" vertical="center"/>
    </xf>
    <xf numFmtId="0" fontId="24" fillId="0" borderId="0" xfId="0" applyFont="1" applyFill="1" applyBorder="1" applyAlignment="1">
      <alignment horizontal="left"/>
    </xf>
    <xf numFmtId="0" fontId="24" fillId="0" borderId="0" xfId="0" applyFont="1" applyBorder="1" applyAlignment="1"/>
    <xf numFmtId="2" fontId="1" fillId="0" borderId="9" xfId="0" quotePrefix="1" applyNumberFormat="1" applyFont="1" applyFill="1" applyBorder="1"/>
    <xf numFmtId="0" fontId="2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4" fillId="0" borderId="11" xfId="0" applyFont="1" applyBorder="1" applyAlignment="1">
      <alignment horizontal="left"/>
    </xf>
    <xf numFmtId="165" fontId="1" fillId="0" borderId="12" xfId="0" applyNumberFormat="1" applyFont="1" applyFill="1" applyBorder="1" applyAlignment="1">
      <alignment horizontal="right"/>
    </xf>
    <xf numFmtId="49" fontId="0" fillId="0" borderId="0" xfId="0" applyNumberFormat="1" applyAlignment="1">
      <alignment horizontal="right"/>
    </xf>
    <xf numFmtId="0" fontId="1" fillId="0" borderId="0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2" xfId="0" applyFont="1" applyFill="1" applyBorder="1"/>
    <xf numFmtId="0" fontId="1" fillId="0" borderId="1" xfId="0" applyFont="1" applyBorder="1"/>
    <xf numFmtId="0" fontId="0" fillId="0" borderId="25" xfId="0" applyBorder="1"/>
    <xf numFmtId="0" fontId="2" fillId="0" borderId="42" xfId="0" applyFont="1" applyBorder="1"/>
    <xf numFmtId="165" fontId="3" fillId="0" borderId="43" xfId="0" applyNumberFormat="1" applyFont="1" applyFill="1" applyBorder="1" applyProtection="1"/>
    <xf numFmtId="165" fontId="1" fillId="0" borderId="19" xfId="0" applyNumberFormat="1" applyFont="1" applyFill="1" applyBorder="1" applyAlignment="1"/>
    <xf numFmtId="2" fontId="3" fillId="0" borderId="19" xfId="0" applyNumberFormat="1" applyFont="1" applyFill="1" applyBorder="1"/>
    <xf numFmtId="165" fontId="3" fillId="0" borderId="19" xfId="0" applyNumberFormat="1" applyFont="1" applyFill="1" applyBorder="1"/>
    <xf numFmtId="2" fontId="1" fillId="0" borderId="43" xfId="0" applyNumberFormat="1" applyFont="1" applyFill="1" applyBorder="1"/>
    <xf numFmtId="165" fontId="1" fillId="0" borderId="19" xfId="0" applyNumberFormat="1" applyFont="1" applyFill="1" applyBorder="1"/>
    <xf numFmtId="165" fontId="1" fillId="0" borderId="19" xfId="0" applyNumberFormat="1" applyFont="1" applyBorder="1"/>
    <xf numFmtId="2" fontId="1" fillId="0" borderId="43" xfId="0" applyNumberFormat="1" applyFont="1" applyFill="1" applyBorder="1" applyAlignment="1">
      <alignment horizontal="right"/>
    </xf>
    <xf numFmtId="2" fontId="1" fillId="0" borderId="19" xfId="0" applyNumberFormat="1" applyFont="1" applyFill="1" applyBorder="1" applyAlignment="1">
      <alignment horizontal="right"/>
    </xf>
    <xf numFmtId="165" fontId="1" fillId="0" borderId="19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30" xfId="0" applyFont="1" applyBorder="1" applyAlignment="1">
      <alignment horizontal="center" vertical="center" textRotation="90"/>
    </xf>
    <xf numFmtId="0" fontId="22" fillId="0" borderId="21" xfId="0" applyFont="1" applyBorder="1" applyAlignment="1">
      <alignment horizontal="center" vertical="center" textRotation="90"/>
    </xf>
    <xf numFmtId="0" fontId="22" fillId="0" borderId="33" xfId="0" applyFont="1" applyBorder="1" applyAlignment="1">
      <alignment horizontal="center" vertical="center" textRotation="90"/>
    </xf>
    <xf numFmtId="0" fontId="23" fillId="0" borderId="30" xfId="0" applyFont="1" applyBorder="1" applyAlignment="1">
      <alignment horizontal="center" vertical="center" textRotation="90"/>
    </xf>
    <xf numFmtId="0" fontId="23" fillId="0" borderId="21" xfId="0" applyFont="1" applyBorder="1" applyAlignment="1">
      <alignment horizontal="center" vertical="center" textRotation="90"/>
    </xf>
    <xf numFmtId="0" fontId="23" fillId="0" borderId="33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 vertical="distributed"/>
    </xf>
    <xf numFmtId="0" fontId="1" fillId="0" borderId="4" xfId="0" applyFont="1" applyBorder="1" applyAlignment="1">
      <alignment horizontal="center" vertical="distributed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1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38" xfId="0" applyFont="1" applyBorder="1" applyAlignment="1">
      <alignment horizontal="left"/>
    </xf>
    <xf numFmtId="0" fontId="9" fillId="0" borderId="36" xfId="0" applyFont="1" applyBorder="1" applyAlignment="1">
      <alignment horizontal="left"/>
    </xf>
    <xf numFmtId="0" fontId="9" fillId="0" borderId="38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3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9" fillId="0" borderId="29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2" fillId="0" borderId="29" xfId="0" applyFont="1" applyFill="1" applyBorder="1" applyAlignment="1">
      <alignment horizontal="center"/>
    </xf>
    <xf numFmtId="0" fontId="2" fillId="0" borderId="10" xfId="0" applyFont="1" applyFill="1" applyBorder="1"/>
    <xf numFmtId="0" fontId="0" fillId="0" borderId="44" xfId="0" applyBorder="1"/>
    <xf numFmtId="0" fontId="2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165" fontId="1" fillId="0" borderId="0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3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165" fontId="1" fillId="0" borderId="20" xfId="0" applyNumberFormat="1" applyFont="1" applyFill="1" applyBorder="1" applyAlignment="1">
      <alignment horizontal="right"/>
    </xf>
    <xf numFmtId="0" fontId="2" fillId="0" borderId="10" xfId="0" applyFont="1" applyBorder="1" applyAlignment="1">
      <alignment horizontal="left"/>
    </xf>
  </cellXfs>
  <cellStyles count="1">
    <cellStyle name="Standaard" xfId="0" builtinId="0"/>
  </cellStyles>
  <dxfs count="46"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wmf"/><Relationship Id="rId2" Type="http://schemas.openxmlformats.org/officeDocument/2006/relationships/image" Target="../media/image6.wmf"/><Relationship Id="rId1" Type="http://schemas.openxmlformats.org/officeDocument/2006/relationships/image" Target="../media/image3.emf"/><Relationship Id="rId4" Type="http://schemas.openxmlformats.org/officeDocument/2006/relationships/image" Target="../media/image8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2</xdr:row>
      <xdr:rowOff>19050</xdr:rowOff>
    </xdr:from>
    <xdr:to>
      <xdr:col>12</xdr:col>
      <xdr:colOff>571500</xdr:colOff>
      <xdr:row>12</xdr:row>
      <xdr:rowOff>180975</xdr:rowOff>
    </xdr:to>
    <xdr:pic>
      <xdr:nvPicPr>
        <xdr:cNvPr id="20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95950" y="552450"/>
          <a:ext cx="1952625" cy="2209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466725</xdr:colOff>
      <xdr:row>17</xdr:row>
      <xdr:rowOff>114300</xdr:rowOff>
    </xdr:from>
    <xdr:to>
      <xdr:col>7</xdr:col>
      <xdr:colOff>457200</xdr:colOff>
      <xdr:row>24</xdr:row>
      <xdr:rowOff>180975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5625" y="6419850"/>
          <a:ext cx="22574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400050</xdr:colOff>
      <xdr:row>44</xdr:row>
      <xdr:rowOff>8822</xdr:rowOff>
    </xdr:from>
    <xdr:to>
      <xdr:col>7</xdr:col>
      <xdr:colOff>828675</xdr:colOff>
      <xdr:row>56</xdr:row>
      <xdr:rowOff>19049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9350" y="1075622"/>
          <a:ext cx="3305175" cy="22962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7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5.bin"/><Relationship Id="rId11" Type="http://schemas.openxmlformats.org/officeDocument/2006/relationships/oleObject" Target="../embeddings/oleObject10.bin"/><Relationship Id="rId5" Type="http://schemas.openxmlformats.org/officeDocument/2006/relationships/oleObject" Target="../embeddings/oleObject4.bin"/><Relationship Id="rId10" Type="http://schemas.openxmlformats.org/officeDocument/2006/relationships/oleObject" Target="../embeddings/oleObject9.bin"/><Relationship Id="rId4" Type="http://schemas.openxmlformats.org/officeDocument/2006/relationships/oleObject" Target="../embeddings/oleObject3.bin"/><Relationship Id="rId9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5"/>
  <sheetViews>
    <sheetView zoomScaleNormal="100" workbookViewId="0">
      <selection activeCell="B8" sqref="B8"/>
    </sheetView>
  </sheetViews>
  <sheetFormatPr defaultRowHeight="15"/>
  <cols>
    <col min="1" max="1" width="10" customWidth="1"/>
    <col min="2" max="2" width="12" customWidth="1"/>
    <col min="3" max="3" width="8.5703125" customWidth="1"/>
    <col min="4" max="4" width="6" customWidth="1"/>
    <col min="6" max="6" width="8.28515625" customWidth="1"/>
    <col min="7" max="7" width="7.85546875" customWidth="1"/>
    <col min="8" max="8" width="10" customWidth="1"/>
    <col min="9" max="9" width="11.28515625" customWidth="1"/>
    <col min="10" max="10" width="4.7109375" bestFit="1" customWidth="1"/>
  </cols>
  <sheetData>
    <row r="1" spans="1:15" ht="26.25">
      <c r="A1" s="174" t="s">
        <v>91</v>
      </c>
    </row>
    <row r="2" spans="1:15" ht="15.75" thickBot="1"/>
    <row r="3" spans="1:15" ht="15" customHeight="1">
      <c r="A3" s="24" t="s">
        <v>7</v>
      </c>
      <c r="B3" s="13"/>
      <c r="C3" s="13"/>
      <c r="D3" s="4"/>
      <c r="E3" s="40"/>
      <c r="F3" s="40"/>
      <c r="G3" s="84" t="s">
        <v>12</v>
      </c>
      <c r="H3" s="85"/>
      <c r="I3" s="13"/>
      <c r="J3" s="4"/>
      <c r="K3" s="40"/>
      <c r="L3" s="40"/>
      <c r="M3" s="53"/>
      <c r="N3" s="229" t="s">
        <v>23</v>
      </c>
    </row>
    <row r="4" spans="1:15">
      <c r="A4" s="149" t="s">
        <v>4</v>
      </c>
      <c r="B4" s="12">
        <v>100</v>
      </c>
      <c r="C4" s="6" t="s">
        <v>3</v>
      </c>
      <c r="D4" s="6"/>
      <c r="E4" s="2"/>
      <c r="F4" s="2"/>
      <c r="G4" s="150" t="s">
        <v>13</v>
      </c>
      <c r="H4" s="6">
        <v>210000</v>
      </c>
      <c r="I4" s="6" t="s">
        <v>15</v>
      </c>
      <c r="J4" s="2"/>
      <c r="K4" s="2"/>
      <c r="L4" s="2"/>
      <c r="M4" s="17"/>
      <c r="N4" s="230"/>
      <c r="O4" s="6"/>
    </row>
    <row r="5" spans="1:15">
      <c r="A5" s="149" t="s">
        <v>5</v>
      </c>
      <c r="B5" s="12">
        <v>50</v>
      </c>
      <c r="C5" s="6" t="s">
        <v>3</v>
      </c>
      <c r="D5" s="6"/>
      <c r="E5" s="2"/>
      <c r="F5" s="2"/>
      <c r="G5" s="150" t="s">
        <v>72</v>
      </c>
      <c r="H5" s="6">
        <v>0.3</v>
      </c>
      <c r="I5" s="6"/>
      <c r="J5" s="2"/>
      <c r="K5" s="2"/>
      <c r="L5" s="2"/>
      <c r="M5" s="17"/>
      <c r="N5" s="230"/>
      <c r="O5" s="6"/>
    </row>
    <row r="6" spans="1:15" ht="18.75">
      <c r="A6" s="149" t="s">
        <v>6</v>
      </c>
      <c r="B6" s="12">
        <v>20</v>
      </c>
      <c r="C6" s="6" t="s">
        <v>3</v>
      </c>
      <c r="D6" s="6"/>
      <c r="E6" s="2"/>
      <c r="F6" s="2"/>
      <c r="G6" s="151" t="s">
        <v>93</v>
      </c>
      <c r="H6" s="12">
        <v>350</v>
      </c>
      <c r="I6" s="6" t="s">
        <v>15</v>
      </c>
      <c r="J6" s="52"/>
      <c r="K6" s="51"/>
      <c r="L6" s="2"/>
      <c r="M6" s="17"/>
      <c r="N6" s="230"/>
      <c r="O6" s="6"/>
    </row>
    <row r="7" spans="1:15" ht="18.75">
      <c r="A7" s="149" t="s">
        <v>2</v>
      </c>
      <c r="B7" s="12">
        <v>1</v>
      </c>
      <c r="C7" s="6" t="s">
        <v>3</v>
      </c>
      <c r="D7" s="6"/>
      <c r="E7" s="2"/>
      <c r="F7" s="2"/>
      <c r="G7" s="150" t="s">
        <v>95</v>
      </c>
      <c r="H7" s="148">
        <v>1</v>
      </c>
      <c r="I7" s="6"/>
      <c r="J7" s="2"/>
      <c r="K7" s="2"/>
      <c r="L7" s="2"/>
      <c r="M7" s="17"/>
      <c r="N7" s="230"/>
      <c r="O7" s="6"/>
    </row>
    <row r="8" spans="1:15" ht="18.75">
      <c r="A8" s="149" t="s">
        <v>1</v>
      </c>
      <c r="B8" s="12">
        <v>3</v>
      </c>
      <c r="C8" s="6" t="s">
        <v>3</v>
      </c>
      <c r="E8" s="2"/>
      <c r="F8" s="2"/>
      <c r="G8" s="150" t="s">
        <v>96</v>
      </c>
      <c r="H8" s="148">
        <v>1</v>
      </c>
      <c r="I8" s="6"/>
      <c r="J8" s="2"/>
      <c r="K8" s="2"/>
      <c r="L8" s="2"/>
      <c r="M8" s="17"/>
      <c r="N8" s="230"/>
      <c r="O8" s="6"/>
    </row>
    <row r="9" spans="1:15">
      <c r="A9" s="109" t="str">
        <f>IF(Profieleigenschappen!C13&lt;=Profieleigenschappen!E13,IF(Profieleigenschappen!C14&lt;=Profieleigenschappen!E14,"Invl. afrondingsstralen mag worden genegeerd","Invl. afrondingsstralen mag niet worden genegeerd"),"Invl. afrondingsstralen mag niet worden genegeerd")</f>
        <v>Invl. afrondingsstralen mag niet worden genegeerd</v>
      </c>
      <c r="B9" s="12"/>
      <c r="C9" s="6"/>
      <c r="D9" s="6"/>
      <c r="E9" s="2"/>
      <c r="F9" s="2"/>
      <c r="G9" s="150"/>
      <c r="H9" s="6"/>
      <c r="I9" s="6"/>
      <c r="J9" s="2"/>
      <c r="K9" s="83"/>
      <c r="L9" s="2"/>
      <c r="M9" s="55"/>
      <c r="N9" s="230"/>
      <c r="O9" s="6"/>
    </row>
    <row r="10" spans="1:15">
      <c r="A10" s="109" t="str">
        <f>IF(Profieleigenschappen!C13&lt;=Profieleigenschappen!E13,IF(Profieleigenschappen!C14&lt;=Profieleigenschappen!E14,"Dit kan door handmatig  r = - 0,5 * t in te voeren"," ")," ")</f>
        <v xml:space="preserve"> </v>
      </c>
      <c r="B10" s="12"/>
      <c r="C10" s="6"/>
      <c r="D10" s="6"/>
      <c r="E10" s="6"/>
      <c r="F10" s="12"/>
      <c r="G10" s="6"/>
      <c r="H10" s="2"/>
      <c r="I10" s="2"/>
      <c r="J10" s="2"/>
      <c r="K10" s="83"/>
      <c r="L10" s="2"/>
      <c r="M10" s="55"/>
      <c r="N10" s="230"/>
      <c r="O10" s="6"/>
    </row>
    <row r="11" spans="1:15">
      <c r="B11" s="2"/>
      <c r="C11" s="2"/>
      <c r="D11" s="6"/>
      <c r="E11" s="2"/>
      <c r="F11" s="2"/>
      <c r="G11" s="2"/>
      <c r="H11" s="2"/>
      <c r="I11" s="2"/>
      <c r="J11" s="2"/>
      <c r="K11" s="2"/>
      <c r="L11" s="2"/>
      <c r="M11" s="55"/>
      <c r="N11" s="230"/>
      <c r="O11" s="6"/>
    </row>
    <row r="12" spans="1:15">
      <c r="A12" s="225" t="str">
        <f>IF(SUM(Profieleigenschappen!I4:I7)=4,"Profiel fysisch mogelijk","Profiel fysisch niet mogelijk")</f>
        <v>Profiel fysisch mogelijk</v>
      </c>
      <c r="B12" s="226"/>
      <c r="C12" s="226"/>
      <c r="D12" s="6"/>
      <c r="E12" s="2"/>
      <c r="F12" s="94"/>
      <c r="G12" s="94"/>
      <c r="H12" s="94"/>
      <c r="I12" s="6"/>
      <c r="J12" s="6"/>
      <c r="K12" s="54"/>
      <c r="L12" s="6"/>
      <c r="M12" s="17"/>
      <c r="N12" s="230"/>
      <c r="O12" s="6"/>
    </row>
    <row r="13" spans="1:15">
      <c r="A13" s="87"/>
      <c r="B13" s="88"/>
      <c r="C13" s="88"/>
      <c r="D13" s="89"/>
      <c r="E13" s="89"/>
      <c r="F13" s="89"/>
      <c r="G13" s="89"/>
      <c r="H13" s="89"/>
      <c r="I13" s="89"/>
      <c r="J13" s="89"/>
      <c r="K13" s="90"/>
      <c r="L13" s="89"/>
      <c r="M13" s="91"/>
      <c r="N13" s="231"/>
      <c r="O13" s="6"/>
    </row>
    <row r="14" spans="1:15">
      <c r="A14" s="21" t="s">
        <v>28</v>
      </c>
      <c r="B14" s="6"/>
      <c r="C14" s="6"/>
      <c r="D14" s="6"/>
      <c r="E14" s="6"/>
      <c r="F14" s="6"/>
      <c r="G14" s="6"/>
      <c r="H14" s="6"/>
      <c r="I14" s="6"/>
      <c r="J14" s="6"/>
      <c r="K14" s="2"/>
      <c r="L14" s="82"/>
      <c r="M14" s="17"/>
      <c r="N14" s="81"/>
      <c r="O14" s="6"/>
    </row>
    <row r="15" spans="1:15" ht="16.5">
      <c r="A15" s="102" t="s">
        <v>29</v>
      </c>
      <c r="B15" s="103"/>
      <c r="C15" s="8"/>
      <c r="D15" s="2"/>
      <c r="E15" s="56" t="s">
        <v>89</v>
      </c>
      <c r="F15" s="49">
        <f>B7</f>
        <v>1</v>
      </c>
      <c r="G15" s="103" t="s">
        <v>67</v>
      </c>
      <c r="H15" s="237" t="str">
        <f>IF(F15&gt;=1,IF(F15&lt;=8,"Voldoet","Voldoet niet"),"Voldoet niet")</f>
        <v>Voldoet</v>
      </c>
      <c r="I15" s="237"/>
      <c r="J15" s="92"/>
      <c r="K15" s="2"/>
      <c r="L15" s="82"/>
      <c r="M15" s="57"/>
      <c r="N15" s="139">
        <f>IF(F15&gt;=1,IF(F15&lt;=8,1,0))</f>
        <v>1</v>
      </c>
      <c r="O15" s="6"/>
    </row>
    <row r="16" spans="1:15">
      <c r="A16" s="102"/>
      <c r="B16" s="103"/>
      <c r="C16" s="8"/>
      <c r="D16" s="2"/>
      <c r="E16" s="56"/>
      <c r="F16" s="49"/>
      <c r="G16" s="103"/>
      <c r="H16" s="104"/>
      <c r="I16" s="104"/>
      <c r="J16" s="92"/>
      <c r="K16" s="2"/>
      <c r="L16" s="82"/>
      <c r="M16" s="57"/>
      <c r="N16" s="140"/>
      <c r="O16" s="6"/>
    </row>
    <row r="17" spans="1:22" ht="16.5">
      <c r="A17" s="235" t="s">
        <v>30</v>
      </c>
      <c r="B17" s="236"/>
      <c r="C17" s="8" t="s">
        <v>34</v>
      </c>
      <c r="D17" s="2"/>
      <c r="E17" s="152" t="s">
        <v>33</v>
      </c>
      <c r="F17" s="49">
        <f>B4/B7</f>
        <v>100</v>
      </c>
      <c r="G17" s="103" t="s">
        <v>62</v>
      </c>
      <c r="H17" s="240" t="str">
        <f>IF(F17&lt;=500,"Voldoet","Voldoet niet")</f>
        <v>Voldoet</v>
      </c>
      <c r="I17" s="240"/>
      <c r="J17" s="103"/>
      <c r="K17" s="103"/>
      <c r="L17" s="103"/>
      <c r="M17" s="57"/>
      <c r="N17" s="141">
        <f>IF(F17&lt;=500,1,0)</f>
        <v>1</v>
      </c>
      <c r="O17" s="6"/>
    </row>
    <row r="18" spans="1:22" ht="16.5">
      <c r="A18" s="105"/>
      <c r="B18" s="103"/>
      <c r="C18" s="8" t="s">
        <v>35</v>
      </c>
      <c r="D18" s="2"/>
      <c r="E18" s="152" t="s">
        <v>36</v>
      </c>
      <c r="F18" s="49">
        <f>B5/B7</f>
        <v>50</v>
      </c>
      <c r="G18" s="103" t="s">
        <v>63</v>
      </c>
      <c r="H18" s="240" t="str">
        <f>IF(F18&lt;=60,"Voldoet","Voldoet niet")</f>
        <v>Voldoet</v>
      </c>
      <c r="I18" s="240"/>
      <c r="J18" s="103"/>
      <c r="K18" s="103"/>
      <c r="L18" s="103"/>
      <c r="M18" s="57"/>
      <c r="N18" s="141">
        <f>IF(F18&lt;=60,1,0)</f>
        <v>1</v>
      </c>
      <c r="O18" s="6"/>
      <c r="T18" s="2"/>
      <c r="U18" s="2"/>
      <c r="V18" s="2"/>
    </row>
    <row r="19" spans="1:22" ht="16.5">
      <c r="A19" s="105"/>
      <c r="B19" s="103"/>
      <c r="C19" s="8" t="s">
        <v>75</v>
      </c>
      <c r="D19" s="2"/>
      <c r="E19" s="152" t="s">
        <v>32</v>
      </c>
      <c r="F19" s="49">
        <f>B6/B7</f>
        <v>20</v>
      </c>
      <c r="G19" s="103" t="s">
        <v>61</v>
      </c>
      <c r="H19" s="240" t="str">
        <f>IF(F19&lt;=50,"Voldoet","Voldoet niet")</f>
        <v>Voldoet</v>
      </c>
      <c r="I19" s="240"/>
      <c r="J19" s="103"/>
      <c r="K19" s="103"/>
      <c r="L19" s="103"/>
      <c r="M19" s="57"/>
      <c r="N19" s="141">
        <f>IF(F19&lt;=50,1,0)</f>
        <v>1</v>
      </c>
      <c r="O19" s="6"/>
      <c r="T19" s="2"/>
      <c r="U19" s="2"/>
      <c r="V19" s="2"/>
    </row>
    <row r="20" spans="1:22" ht="15" customHeight="1">
      <c r="A20" s="107"/>
      <c r="B20" s="108"/>
      <c r="C20" s="8" t="s">
        <v>75</v>
      </c>
      <c r="D20" s="2"/>
      <c r="E20" s="153" t="s">
        <v>74</v>
      </c>
      <c r="F20" s="49">
        <f>B6/B5</f>
        <v>0.4</v>
      </c>
      <c r="G20" s="134" t="s">
        <v>90</v>
      </c>
      <c r="H20" s="238" t="str">
        <f>IF(F21&lt;=0.6,IF(F21&gt;=0.2,"De lip mag worden meegenomen in de berekening","Lipafmetingen te klein. Bereken C-profiel als U-profiel met dezelfde b als C-profiel"),"Lipafmetingen te groot. Geen verdere berekening mogelijk")</f>
        <v>De lip mag worden meegenomen in de berekening</v>
      </c>
      <c r="I20" s="238"/>
      <c r="J20" s="238"/>
      <c r="K20" s="238"/>
      <c r="L20" s="238"/>
      <c r="M20" s="239"/>
      <c r="N20" s="142">
        <f>IF(F20&gt;=0.2,1,0)</f>
        <v>1</v>
      </c>
      <c r="O20" s="6"/>
      <c r="T20" s="2"/>
      <c r="U20" s="2"/>
      <c r="V20" s="2"/>
    </row>
    <row r="21" spans="1:22">
      <c r="A21" s="16"/>
      <c r="B21" s="6"/>
      <c r="C21" s="6"/>
      <c r="D21" s="6"/>
      <c r="E21" s="153" t="s">
        <v>74</v>
      </c>
      <c r="F21" s="49">
        <f>B6/B5</f>
        <v>0.4</v>
      </c>
      <c r="G21" s="103" t="s">
        <v>68</v>
      </c>
      <c r="H21" s="238"/>
      <c r="I21" s="238"/>
      <c r="J21" s="238"/>
      <c r="K21" s="238"/>
      <c r="L21" s="238"/>
      <c r="M21" s="239"/>
      <c r="N21" s="142">
        <f>IF(F21&lt;=0.6,1,0)</f>
        <v>1</v>
      </c>
      <c r="O21" s="5"/>
      <c r="T21" s="2"/>
      <c r="U21" s="2"/>
      <c r="V21" s="2"/>
    </row>
    <row r="22" spans="1:22">
      <c r="A22" s="1"/>
      <c r="B22" s="2"/>
      <c r="C22" s="2"/>
      <c r="D22" s="6"/>
      <c r="E22" s="2"/>
      <c r="F22" s="6"/>
      <c r="G22" s="6"/>
      <c r="H22" s="92"/>
      <c r="I22" s="6"/>
      <c r="J22" s="6"/>
      <c r="K22" s="8"/>
      <c r="L22" s="8"/>
      <c r="M22" s="15"/>
      <c r="N22" s="143"/>
      <c r="O22" s="5"/>
      <c r="T22" s="2"/>
      <c r="U22" s="2"/>
      <c r="V22" s="2"/>
    </row>
    <row r="23" spans="1:22" ht="18.75">
      <c r="A23" s="1"/>
      <c r="B23" s="205" t="s">
        <v>236</v>
      </c>
      <c r="C23" s="171" t="s">
        <v>1</v>
      </c>
      <c r="D23" s="106" t="s">
        <v>38</v>
      </c>
      <c r="E23" s="8" t="s">
        <v>97</v>
      </c>
      <c r="F23" s="2"/>
      <c r="G23" s="6"/>
      <c r="H23" s="92"/>
      <c r="J23" s="6"/>
      <c r="K23" s="8"/>
      <c r="L23" s="8"/>
      <c r="M23" s="15"/>
      <c r="N23" s="143"/>
      <c r="O23" s="5"/>
    </row>
    <row r="24" spans="1:22">
      <c r="A24" s="1"/>
      <c r="C24" s="8">
        <f>B8</f>
        <v>3</v>
      </c>
      <c r="D24" s="106" t="s">
        <v>38</v>
      </c>
      <c r="E24" s="111">
        <f>(0.04*B7*H4)/H6</f>
        <v>24</v>
      </c>
      <c r="F24" s="240" t="str">
        <f>IF(C24&gt;E24,"Voldoet niet","Voldoet")</f>
        <v>Voldoet</v>
      </c>
      <c r="G24" s="240"/>
      <c r="I24" s="6"/>
      <c r="J24" s="6"/>
      <c r="K24" s="8"/>
      <c r="L24" s="8"/>
      <c r="M24" s="15"/>
      <c r="N24" s="144">
        <f>IF(C24&lt;=E24,1,0)</f>
        <v>1</v>
      </c>
    </row>
    <row r="25" spans="1:22">
      <c r="A25" s="16"/>
      <c r="B25" s="2"/>
      <c r="C25" s="2"/>
      <c r="D25" s="2"/>
      <c r="E25" s="56"/>
      <c r="F25" s="28"/>
      <c r="G25" s="6"/>
      <c r="H25" s="92"/>
      <c r="I25" s="6"/>
      <c r="K25" s="8"/>
      <c r="L25" s="8"/>
      <c r="M25" s="15"/>
      <c r="N25" s="143"/>
      <c r="O25" s="36"/>
    </row>
    <row r="26" spans="1:22">
      <c r="A26" s="1"/>
      <c r="B26" s="2"/>
      <c r="C26" s="2"/>
      <c r="D26" s="6"/>
      <c r="E26" s="56"/>
      <c r="F26" s="11"/>
      <c r="G26" s="6"/>
      <c r="H26" s="6"/>
      <c r="I26" s="6"/>
      <c r="J26" s="6"/>
      <c r="K26" s="8"/>
      <c r="L26" s="8"/>
      <c r="M26" s="15"/>
      <c r="N26" s="143"/>
      <c r="O26" s="5"/>
    </row>
    <row r="27" spans="1:22">
      <c r="A27" s="1"/>
      <c r="B27" s="2"/>
      <c r="C27" s="2"/>
      <c r="D27" s="6"/>
      <c r="E27" s="6"/>
      <c r="F27" s="11"/>
      <c r="G27" s="6"/>
      <c r="H27" s="6"/>
      <c r="J27" s="6"/>
      <c r="K27" s="8"/>
      <c r="L27" s="8"/>
      <c r="M27" s="15"/>
      <c r="N27" s="81"/>
      <c r="O27" s="5"/>
    </row>
    <row r="28" spans="1:22">
      <c r="A28" s="1"/>
      <c r="B28" s="2"/>
      <c r="C28" s="2"/>
      <c r="D28" s="6"/>
      <c r="E28" s="6"/>
      <c r="F28" s="11"/>
      <c r="G28" s="6"/>
      <c r="H28" s="6"/>
      <c r="I28" s="6"/>
      <c r="K28" s="8"/>
      <c r="L28" s="8"/>
      <c r="M28" s="15"/>
      <c r="N28" s="81"/>
      <c r="P28" s="170"/>
    </row>
    <row r="29" spans="1:22">
      <c r="A29" s="1"/>
      <c r="B29" s="2"/>
      <c r="C29" s="2"/>
      <c r="D29" s="6"/>
      <c r="E29" s="6"/>
      <c r="F29" s="11"/>
      <c r="G29" s="6"/>
      <c r="J29" s="6"/>
      <c r="K29" s="8"/>
      <c r="L29" s="8"/>
      <c r="M29" s="15"/>
      <c r="N29" s="81"/>
      <c r="O29" s="5"/>
      <c r="Q29" s="52"/>
      <c r="R29" s="50"/>
    </row>
    <row r="30" spans="1:22">
      <c r="A30" s="1"/>
      <c r="B30" s="2"/>
      <c r="C30" s="2"/>
      <c r="D30" s="6"/>
      <c r="E30" s="6"/>
      <c r="F30" s="11"/>
      <c r="G30" s="6"/>
      <c r="H30" s="6"/>
      <c r="J30" s="6"/>
      <c r="K30" s="8"/>
      <c r="L30" s="8"/>
      <c r="M30" s="15"/>
      <c r="N30" s="81"/>
      <c r="O30" s="5"/>
      <c r="Q30" s="52"/>
      <c r="R30" s="50"/>
    </row>
    <row r="31" spans="1:22">
      <c r="A31" s="1"/>
      <c r="B31" s="2"/>
      <c r="C31" s="2"/>
      <c r="D31" s="6"/>
      <c r="E31" s="6"/>
      <c r="G31" s="6"/>
      <c r="H31" s="6"/>
      <c r="J31" s="6"/>
      <c r="K31" s="8"/>
      <c r="L31" s="8"/>
      <c r="M31" s="15"/>
      <c r="N31" s="81"/>
    </row>
    <row r="32" spans="1:22">
      <c r="A32" s="1"/>
      <c r="B32" s="2"/>
      <c r="C32" s="2"/>
      <c r="D32" s="6"/>
      <c r="E32" s="6"/>
      <c r="F32" s="11"/>
      <c r="G32" s="6"/>
      <c r="H32" s="6"/>
      <c r="I32" s="6"/>
      <c r="J32" s="6"/>
      <c r="L32" s="8"/>
      <c r="M32" s="15"/>
      <c r="N32" s="81"/>
      <c r="O32" s="5"/>
    </row>
    <row r="33" spans="1:15">
      <c r="A33" s="1"/>
      <c r="B33" s="2"/>
      <c r="C33" s="2"/>
      <c r="D33" s="6"/>
      <c r="E33" s="6"/>
      <c r="F33" s="11"/>
      <c r="G33" s="6"/>
      <c r="H33" s="6"/>
      <c r="J33" s="6"/>
      <c r="K33" s="8"/>
      <c r="L33" s="8"/>
      <c r="M33" s="15"/>
      <c r="N33" s="81"/>
      <c r="O33" s="5"/>
    </row>
    <row r="34" spans="1:15">
      <c r="A34" s="1"/>
      <c r="B34" s="2"/>
      <c r="C34" s="2"/>
      <c r="D34" s="6"/>
      <c r="E34" s="6"/>
      <c r="F34" s="11"/>
      <c r="G34" s="6"/>
      <c r="H34" s="6"/>
      <c r="I34" s="6"/>
      <c r="J34" s="6"/>
      <c r="K34" s="8"/>
      <c r="L34" s="8"/>
      <c r="M34" s="15"/>
      <c r="N34" s="81"/>
      <c r="O34" s="5"/>
    </row>
    <row r="35" spans="1:15" ht="15" customHeight="1">
      <c r="A35" s="1"/>
      <c r="B35" s="2"/>
      <c r="C35" s="2"/>
      <c r="D35" s="6"/>
      <c r="E35" s="6"/>
      <c r="F35" s="11"/>
      <c r="G35" s="6"/>
      <c r="H35" s="6"/>
      <c r="I35" s="6"/>
      <c r="J35" s="6"/>
      <c r="K35" s="8"/>
      <c r="L35" s="8"/>
      <c r="M35" s="15"/>
      <c r="N35" s="81"/>
      <c r="O35" s="5"/>
    </row>
    <row r="36" spans="1:15">
      <c r="A36" s="1"/>
      <c r="B36" s="2"/>
      <c r="C36" s="2"/>
      <c r="D36" s="6"/>
      <c r="E36" s="6"/>
      <c r="F36" s="11"/>
      <c r="G36" s="6"/>
      <c r="H36" s="6"/>
      <c r="I36" s="6"/>
      <c r="J36" s="6"/>
      <c r="K36" s="8"/>
      <c r="L36" s="8"/>
      <c r="M36" s="15"/>
      <c r="N36" s="81"/>
      <c r="O36" s="5"/>
    </row>
    <row r="37" spans="1:15" ht="15.75" thickBot="1">
      <c r="A37" s="86"/>
      <c r="B37" s="3"/>
      <c r="C37" s="3"/>
      <c r="D37" s="22"/>
      <c r="E37" s="22"/>
      <c r="F37" s="23"/>
      <c r="G37" s="22"/>
      <c r="H37" s="22"/>
      <c r="I37" s="22"/>
      <c r="J37" s="22"/>
      <c r="K37" s="19"/>
      <c r="L37" s="19"/>
      <c r="M37" s="20"/>
      <c r="N37" s="81"/>
      <c r="O37" s="5"/>
    </row>
    <row r="38" spans="1:15" ht="15.75" thickBot="1">
      <c r="A38" s="2"/>
      <c r="B38" s="2"/>
      <c r="C38" s="2"/>
      <c r="D38" s="6"/>
      <c r="E38" s="6"/>
      <c r="F38" s="11"/>
      <c r="G38" s="6"/>
      <c r="H38" s="6"/>
      <c r="I38" s="6"/>
      <c r="J38" s="6"/>
      <c r="K38" s="8"/>
      <c r="L38" s="8"/>
      <c r="M38" s="8"/>
      <c r="N38" s="81"/>
      <c r="O38" s="5"/>
    </row>
    <row r="39" spans="1:15">
      <c r="A39" s="24" t="s">
        <v>16</v>
      </c>
      <c r="B39" s="13"/>
      <c r="C39" s="13"/>
      <c r="D39" s="13"/>
      <c r="E39" s="13"/>
      <c r="F39" s="14"/>
      <c r="G39" s="13"/>
      <c r="H39" s="13"/>
      <c r="I39" s="13"/>
      <c r="J39" s="13"/>
      <c r="K39" s="41"/>
      <c r="L39" s="41"/>
      <c r="M39" s="74"/>
      <c r="N39" s="232" t="s">
        <v>244</v>
      </c>
      <c r="O39" s="5"/>
    </row>
    <row r="40" spans="1:15" ht="18.75">
      <c r="A40" s="149" t="s">
        <v>134</v>
      </c>
      <c r="B40" s="27">
        <f>Berekening!H75</f>
        <v>18.33852079219216</v>
      </c>
      <c r="C40" s="6" t="s">
        <v>3</v>
      </c>
      <c r="D40" s="6"/>
      <c r="E40" s="2"/>
      <c r="F40" s="2"/>
      <c r="G40" s="2"/>
      <c r="H40" s="2"/>
      <c r="I40" s="2"/>
      <c r="J40" s="2"/>
      <c r="K40" s="2"/>
      <c r="L40" s="2"/>
      <c r="M40" s="15"/>
      <c r="N40" s="233"/>
      <c r="O40" s="5"/>
    </row>
    <row r="41" spans="1:15" ht="18.75">
      <c r="A41" s="149" t="s">
        <v>135</v>
      </c>
      <c r="B41" s="27">
        <f>Berekening!H76</f>
        <v>18.33852079219216</v>
      </c>
      <c r="C41" s="6" t="s">
        <v>3</v>
      </c>
      <c r="D41" s="6"/>
      <c r="E41" s="2"/>
      <c r="F41" s="2"/>
      <c r="G41" s="2"/>
      <c r="H41" s="6"/>
      <c r="I41" s="6"/>
      <c r="J41" s="6"/>
      <c r="K41" s="8"/>
      <c r="L41" s="8"/>
      <c r="M41" s="15"/>
      <c r="N41" s="233"/>
      <c r="O41" s="5"/>
    </row>
    <row r="42" spans="1:15" ht="18.75">
      <c r="A42" s="149" t="s">
        <v>140</v>
      </c>
      <c r="B42" s="27">
        <f>Berekening!H91</f>
        <v>15.721065719192424</v>
      </c>
      <c r="C42" s="6" t="s">
        <v>3</v>
      </c>
      <c r="D42" s="2"/>
      <c r="E42" s="2"/>
      <c r="F42" s="2"/>
      <c r="G42" s="2"/>
      <c r="H42" s="2"/>
      <c r="I42" s="2"/>
      <c r="J42" s="2"/>
      <c r="K42" s="8"/>
      <c r="L42" s="8"/>
      <c r="M42" s="15"/>
      <c r="N42" s="233"/>
      <c r="O42" s="5"/>
    </row>
    <row r="43" spans="1:15" ht="18.75">
      <c r="A43" s="149" t="s">
        <v>141</v>
      </c>
      <c r="B43" s="27">
        <f>Berekening!H92</f>
        <v>15.721065719192424</v>
      </c>
      <c r="C43" s="6" t="s">
        <v>3</v>
      </c>
      <c r="D43" s="2"/>
      <c r="E43" s="2"/>
      <c r="F43" s="2"/>
      <c r="G43" s="2"/>
      <c r="H43" s="2"/>
      <c r="I43" s="2"/>
      <c r="J43" s="2"/>
      <c r="K43" s="6"/>
      <c r="L43" s="6"/>
      <c r="M43" s="15"/>
      <c r="N43" s="233"/>
      <c r="O43" s="5"/>
    </row>
    <row r="44" spans="1:15" ht="18.75">
      <c r="A44" s="149" t="s">
        <v>144</v>
      </c>
      <c r="B44" s="27">
        <f>Berekening!H104</f>
        <v>12.269739893982267</v>
      </c>
      <c r="C44" s="6" t="s">
        <v>3</v>
      </c>
      <c r="D44" s="2"/>
      <c r="E44" s="2"/>
      <c r="F44" s="2"/>
      <c r="G44" s="2"/>
      <c r="H44" s="6"/>
      <c r="I44" s="6"/>
      <c r="J44" s="6"/>
      <c r="K44" s="8"/>
      <c r="L44" s="8"/>
      <c r="M44" s="15"/>
      <c r="N44" s="233"/>
      <c r="O44" s="5"/>
    </row>
    <row r="45" spans="1:15">
      <c r="A45" s="172"/>
      <c r="B45" s="2"/>
      <c r="C45" s="2"/>
      <c r="D45" s="2"/>
      <c r="E45" s="2"/>
      <c r="F45" s="2"/>
      <c r="G45" s="2"/>
      <c r="H45" s="6"/>
      <c r="I45" s="6"/>
      <c r="J45" s="6"/>
      <c r="K45" s="8"/>
      <c r="L45" s="8"/>
      <c r="M45" s="15"/>
      <c r="N45" s="233"/>
      <c r="O45" s="5"/>
    </row>
    <row r="46" spans="1:15" ht="18.75">
      <c r="A46" s="173" t="s">
        <v>127</v>
      </c>
      <c r="B46" s="135">
        <f>Berekening!H118</f>
        <v>0.70963019080413159</v>
      </c>
      <c r="C46" s="6" t="s">
        <v>3</v>
      </c>
      <c r="D46" s="6"/>
      <c r="E46" s="9"/>
      <c r="F46" s="6"/>
      <c r="G46" s="6"/>
      <c r="H46" s="6"/>
      <c r="I46" s="6"/>
      <c r="J46" s="6"/>
      <c r="K46" s="8"/>
      <c r="L46" s="8"/>
      <c r="M46" s="15"/>
      <c r="N46" s="233"/>
      <c r="O46" s="5"/>
    </row>
    <row r="47" spans="1:15">
      <c r="A47" s="172"/>
      <c r="B47" s="2"/>
      <c r="C47" s="2"/>
      <c r="D47" s="6"/>
      <c r="E47" s="9"/>
      <c r="F47" s="6"/>
      <c r="G47" s="6"/>
      <c r="H47" s="6"/>
      <c r="I47" s="6"/>
      <c r="J47" s="6"/>
      <c r="K47" s="8"/>
      <c r="L47" s="8"/>
      <c r="M47" s="15"/>
      <c r="N47" s="233"/>
      <c r="O47" s="5"/>
    </row>
    <row r="48" spans="1:15" ht="18.75">
      <c r="A48" s="149" t="s">
        <v>18</v>
      </c>
      <c r="B48" s="27">
        <f>Berekening!H121</f>
        <v>126.64378024609572</v>
      </c>
      <c r="C48" s="6" t="s">
        <v>8</v>
      </c>
      <c r="D48" s="6"/>
      <c r="E48" s="9"/>
      <c r="F48" s="6"/>
      <c r="G48" s="6"/>
      <c r="H48" s="6"/>
      <c r="I48" s="6"/>
      <c r="J48" s="6"/>
      <c r="K48" s="8"/>
      <c r="L48" s="8"/>
      <c r="M48" s="15"/>
      <c r="N48" s="234"/>
      <c r="O48" s="5"/>
    </row>
    <row r="49" spans="1:15" ht="18.75">
      <c r="A49" s="149" t="s">
        <v>21</v>
      </c>
      <c r="B49" s="27">
        <f>Berekening!H122</f>
        <v>19.240573455926491</v>
      </c>
      <c r="C49" s="6" t="s">
        <v>3</v>
      </c>
      <c r="D49" s="6"/>
      <c r="E49" s="6"/>
      <c r="F49" s="6"/>
      <c r="G49" s="6"/>
      <c r="H49" s="6"/>
      <c r="I49" s="6"/>
      <c r="J49" s="6"/>
      <c r="K49" s="8"/>
      <c r="L49" s="8"/>
      <c r="M49" s="15"/>
      <c r="N49" s="5"/>
      <c r="O49" s="5"/>
    </row>
    <row r="50" spans="1:15" ht="18.75">
      <c r="A50" s="149" t="s">
        <v>60</v>
      </c>
      <c r="B50" s="27">
        <f>Profieleigenschappen!E37</f>
        <v>18.108449676836965</v>
      </c>
      <c r="C50" s="6" t="s">
        <v>3</v>
      </c>
      <c r="D50" s="6"/>
      <c r="E50" s="6"/>
      <c r="F50" s="6"/>
      <c r="G50" s="6"/>
      <c r="H50" s="6"/>
      <c r="I50" s="6"/>
      <c r="J50" s="6"/>
      <c r="K50" s="8"/>
      <c r="L50" s="8"/>
      <c r="M50" s="15"/>
      <c r="N50" s="5"/>
      <c r="O50" s="5"/>
    </row>
    <row r="51" spans="1:15" ht="18.75">
      <c r="A51" s="149" t="s">
        <v>129</v>
      </c>
      <c r="B51" s="27">
        <f>Berekening!H123</f>
        <v>1.1321237790895253</v>
      </c>
      <c r="C51" s="6" t="s">
        <v>3</v>
      </c>
      <c r="D51" s="6"/>
      <c r="E51" s="6"/>
      <c r="F51" s="6"/>
      <c r="G51" s="6"/>
      <c r="H51" s="6"/>
      <c r="I51" s="6"/>
      <c r="J51" s="6"/>
      <c r="K51" s="8"/>
      <c r="L51" s="8"/>
      <c r="M51" s="15"/>
      <c r="N51" s="5"/>
      <c r="O51" s="5"/>
    </row>
    <row r="52" spans="1:15">
      <c r="A52" s="1"/>
      <c r="B52" s="2"/>
      <c r="C52" s="2"/>
      <c r="D52" s="6"/>
      <c r="E52" s="2"/>
      <c r="F52" s="6"/>
      <c r="G52" s="6"/>
      <c r="H52" s="6"/>
      <c r="I52" s="6"/>
      <c r="J52" s="6"/>
      <c r="K52" s="8"/>
      <c r="L52" s="8"/>
      <c r="M52" s="55"/>
      <c r="N52" s="5"/>
      <c r="O52" s="36"/>
    </row>
    <row r="53" spans="1:15">
      <c r="A53" s="227" t="str">
        <f>A12</f>
        <v>Profiel fysisch mogelijk</v>
      </c>
      <c r="B53" s="228"/>
      <c r="C53" s="228"/>
      <c r="D53" s="6"/>
      <c r="E53" s="6"/>
      <c r="F53" s="6"/>
      <c r="G53" s="6"/>
      <c r="H53" s="6"/>
      <c r="I53" s="6"/>
      <c r="J53" s="6"/>
      <c r="K53" s="8"/>
      <c r="L53" s="8"/>
      <c r="M53" s="15"/>
      <c r="N53" s="5"/>
      <c r="O53" s="5"/>
    </row>
    <row r="54" spans="1:15">
      <c r="A54" s="1"/>
      <c r="B54" s="95"/>
      <c r="C54" s="95"/>
      <c r="D54" s="6"/>
      <c r="E54" s="6"/>
      <c r="F54" s="6"/>
      <c r="G54" s="6"/>
      <c r="H54" s="6"/>
      <c r="I54" s="6"/>
      <c r="J54" s="6"/>
      <c r="K54" s="8"/>
      <c r="L54" s="8"/>
      <c r="M54" s="15"/>
      <c r="N54" s="5"/>
      <c r="O54" s="5"/>
    </row>
    <row r="55" spans="1:15">
      <c r="A55" s="223" t="str">
        <f>IF(SUM(N15:N24)=7,"Output geldig","Output niet geldig")</f>
        <v>Output geldig</v>
      </c>
      <c r="B55" s="224"/>
      <c r="C55" s="224"/>
      <c r="D55" s="6"/>
      <c r="E55" s="6"/>
      <c r="F55" s="6"/>
      <c r="G55" s="6"/>
      <c r="H55" s="6"/>
      <c r="I55" s="6"/>
      <c r="J55" s="6"/>
      <c r="K55" s="8"/>
      <c r="L55" s="8"/>
      <c r="M55" s="15"/>
      <c r="N55" s="5"/>
      <c r="O55" s="5"/>
    </row>
    <row r="56" spans="1:15" ht="15.75" thickBot="1">
      <c r="A56" s="18"/>
      <c r="B56" s="132"/>
      <c r="C56" s="22"/>
      <c r="D56" s="22"/>
      <c r="E56" s="22"/>
      <c r="F56" s="22"/>
      <c r="G56" s="22"/>
      <c r="H56" s="22"/>
      <c r="I56" s="22"/>
      <c r="J56" s="22"/>
      <c r="K56" s="19"/>
      <c r="L56" s="19"/>
      <c r="M56" s="20"/>
      <c r="N56" s="5"/>
      <c r="O56" s="5"/>
    </row>
    <row r="57" spans="1:15">
      <c r="A57" s="2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5"/>
      <c r="N57" s="5"/>
      <c r="O57" s="5"/>
    </row>
    <row r="58" spans="1:15">
      <c r="A58" s="80"/>
      <c r="B58" s="31"/>
      <c r="C58" s="10"/>
      <c r="D58" s="2"/>
      <c r="E58" s="8"/>
      <c r="F58" s="8"/>
      <c r="G58" s="8"/>
      <c r="H58" s="8"/>
      <c r="I58" s="8"/>
      <c r="J58" s="8"/>
      <c r="K58" s="8"/>
      <c r="L58" s="8"/>
      <c r="M58" s="5"/>
      <c r="N58" s="5"/>
      <c r="O58" s="5"/>
    </row>
    <row r="59" spans="1:1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5"/>
      <c r="N59" s="5"/>
      <c r="O59" s="5"/>
    </row>
    <row r="60" spans="1:15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5"/>
      <c r="N60" s="5"/>
      <c r="O60" s="5"/>
    </row>
    <row r="61" spans="1:1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5"/>
      <c r="N61" s="5"/>
      <c r="O61" s="5"/>
    </row>
    <row r="62" spans="1:15">
      <c r="A62" s="8"/>
      <c r="B62" s="31"/>
      <c r="C62" s="10"/>
      <c r="D62" s="8"/>
      <c r="E62" s="8"/>
      <c r="F62" s="8"/>
      <c r="G62" s="8"/>
      <c r="H62" s="8"/>
      <c r="I62" s="8"/>
      <c r="J62" s="8"/>
      <c r="K62" s="8"/>
      <c r="L62" s="8"/>
      <c r="M62" s="5"/>
      <c r="N62" s="5"/>
      <c r="O62" s="5"/>
    </row>
    <row r="63" spans="1:1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5"/>
      <c r="N63" s="5"/>
      <c r="O63" s="5"/>
    </row>
    <row r="64" spans="1:1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5"/>
      <c r="N64" s="5"/>
      <c r="O64" s="5"/>
    </row>
    <row r="65" spans="1:1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5"/>
      <c r="N65" s="5"/>
      <c r="O65" s="5"/>
    </row>
  </sheetData>
  <mergeCells count="12">
    <mergeCell ref="A55:C55"/>
    <mergeCell ref="A12:C12"/>
    <mergeCell ref="A53:C53"/>
    <mergeCell ref="N3:N13"/>
    <mergeCell ref="N39:N48"/>
    <mergeCell ref="A17:B17"/>
    <mergeCell ref="H15:I15"/>
    <mergeCell ref="H20:M21"/>
    <mergeCell ref="H19:I19"/>
    <mergeCell ref="H18:I18"/>
    <mergeCell ref="H17:I17"/>
    <mergeCell ref="F24:G24"/>
  </mergeCells>
  <phoneticPr fontId="0" type="noConversion"/>
  <conditionalFormatting sqref="H22:H23 L14">
    <cfRule type="cellIs" dxfId="45" priority="39" operator="equal">
      <formula>"Voldoet niet"</formula>
    </cfRule>
    <cfRule type="cellIs" dxfId="44" priority="40" operator="equal">
      <formula>"Voldoet niet"</formula>
    </cfRule>
    <cfRule type="cellIs" dxfId="43" priority="41" operator="equal">
      <formula>"Voldoet"</formula>
    </cfRule>
  </conditionalFormatting>
  <conditionalFormatting sqref="F24 N17:N19 L15:L16 H17:I19">
    <cfRule type="cellIs" dxfId="42" priority="37" operator="equal">
      <formula>"Voldoet niet"</formula>
    </cfRule>
    <cfRule type="cellIs" dxfId="41" priority="38" operator="equal">
      <formula>"Voldoet"</formula>
    </cfRule>
  </conditionalFormatting>
  <conditionalFormatting sqref="H15:H16 N15">
    <cfRule type="cellIs" dxfId="40" priority="34" operator="equal">
      <formula>"Voldoet niet"</formula>
    </cfRule>
    <cfRule type="cellIs" dxfId="39" priority="35" operator="equal">
      <formula>"Voldoet"</formula>
    </cfRule>
    <cfRule type="cellIs" priority="36" operator="equal">
      <formula>"Voldoet"</formula>
    </cfRule>
  </conditionalFormatting>
  <conditionalFormatting sqref="A55 H21">
    <cfRule type="cellIs" dxfId="38" priority="33" operator="equal">
      <formula>"Lip moet mee genomen worden in berekening"</formula>
    </cfRule>
  </conditionalFormatting>
  <conditionalFormatting sqref="A55 H21">
    <cfRule type="cellIs" dxfId="37" priority="31" operator="equal">
      <formula>"Lip moet niet meegenomen worden in berekening"</formula>
    </cfRule>
    <cfRule type="cellIs" dxfId="36" priority="32" operator="equal">
      <formula>"Lip moet mee genomen worden in berekening"</formula>
    </cfRule>
  </conditionalFormatting>
  <conditionalFormatting sqref="I20">
    <cfRule type="cellIs" dxfId="35" priority="27" operator="equal">
      <formula>"Voldoet niet"</formula>
    </cfRule>
  </conditionalFormatting>
  <conditionalFormatting sqref="A53:C53 A12 F12:H12">
    <cfRule type="cellIs" dxfId="34" priority="25" operator="equal">
      <formula>"Profiel fysisch niet mogelijk"</formula>
    </cfRule>
    <cfRule type="cellIs" dxfId="33" priority="26" operator="equal">
      <formula>"Profiel fysisch mogelijk"</formula>
    </cfRule>
  </conditionalFormatting>
  <conditionalFormatting sqref="A55">
    <cfRule type="cellIs" dxfId="32" priority="20" operator="equal">
      <formula>"Output niet geldig"</formula>
    </cfRule>
    <cfRule type="cellIs" dxfId="31" priority="21" operator="equal">
      <formula>"Output geldig"</formula>
    </cfRule>
  </conditionalFormatting>
  <conditionalFormatting sqref="H20:M21">
    <cfRule type="cellIs" dxfId="30" priority="13" stopIfTrue="1" operator="equal">
      <formula>"De lip mag worden meegenomen in de berekening"</formula>
    </cfRule>
    <cfRule type="cellIs" dxfId="29" priority="14" stopIfTrue="1" operator="equal">
      <formula>"Lipafmetingen te klein. Bereken C-profiel als U-profiel met dezelfde b als C-profiel"</formula>
    </cfRule>
    <cfRule type="cellIs" dxfId="28" priority="15" stopIfTrue="1" operator="equal">
      <formula>"Lipafmetingen te groot. Geen verdere berekening mogelijk"</formula>
    </cfRule>
  </conditionalFormatting>
  <conditionalFormatting sqref="H20:M21">
    <cfRule type="cellIs" dxfId="27" priority="6" stopIfTrue="1" operator="equal">
      <formula>"Lipafmetingen te groot. Geen verdere berekening mogelijk"</formula>
    </cfRule>
    <cfRule type="cellIs" dxfId="26" priority="7" stopIfTrue="1" operator="equal">
      <formula>"Lipafmetingen te klein. Bereken C-profiel als U-profiel met dezelfde b als C-profiel"</formula>
    </cfRule>
    <cfRule type="cellIs" dxfId="25" priority="8" stopIfTrue="1" operator="equal">
      <formula>"Lipafmetingen te klein. Bereken C-profiel als U-profiel met dezelfde b als C-profiel"</formula>
    </cfRule>
    <cfRule type="cellIs" dxfId="24" priority="9" stopIfTrue="1" operator="equal">
      <formula>"De lip mag worden meegenomen in de berekening"</formula>
    </cfRule>
    <cfRule type="cellIs" dxfId="23" priority="10" stopIfTrue="1" operator="equal">
      <formula>"De lip mag worden meegenomen in de berekening"</formula>
    </cfRule>
    <cfRule type="cellIs" dxfId="22" priority="11" stopIfTrue="1" operator="equal">
      <formula>"Lipafmetingen te klein. Bereken C-profiel als U-profiel met dezelfde b als C-profiel"</formula>
    </cfRule>
    <cfRule type="cellIs" dxfId="21" priority="12" stopIfTrue="1" operator="equal">
      <formula>"Lipafmetingen te groot. Geen verdere berekening mogelijk"</formula>
    </cfRule>
  </conditionalFormatting>
  <pageMargins left="0.70866141732283472" right="0.70866141732283472" top="0.55118110236220474" bottom="0.55118110236220474" header="0.31496062992125984" footer="0.31496062992125984"/>
  <pageSetup paperSize="9" scale="70" orientation="portrait" r:id="rId1"/>
  <drawing r:id="rId2"/>
  <legacyDrawing r:id="rId3"/>
  <oleObjects>
    <oleObject progId="Word.Document.12" shapeId="2050" r:id="rId4"/>
    <oleObject progId="Word.Document.12" shapeId="2051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7"/>
  <sheetViews>
    <sheetView topLeftCell="A10" zoomScaleNormal="100" workbookViewId="0">
      <selection activeCell="K31" sqref="K31"/>
    </sheetView>
  </sheetViews>
  <sheetFormatPr defaultRowHeight="15"/>
  <cols>
    <col min="2" max="2" width="12.42578125" customWidth="1"/>
    <col min="3" max="3" width="8.7109375" customWidth="1"/>
    <col min="5" max="5" width="11.140625" customWidth="1"/>
    <col min="6" max="6" width="13.28515625" customWidth="1"/>
    <col min="7" max="7" width="9.5703125" customWidth="1"/>
    <col min="8" max="8" width="12.85546875" customWidth="1"/>
    <col min="9" max="9" width="11.7109375" customWidth="1"/>
    <col min="10" max="10" width="10.28515625" customWidth="1"/>
    <col min="11" max="11" width="9.28515625" customWidth="1"/>
    <col min="12" max="12" width="24.28515625" customWidth="1"/>
    <col min="13" max="13" width="10.28515625" customWidth="1"/>
    <col min="14" max="14" width="11.42578125" customWidth="1"/>
    <col min="15" max="15" width="12" bestFit="1" customWidth="1"/>
    <col min="16" max="16" width="8.7109375" bestFit="1" customWidth="1"/>
    <col min="17" max="17" width="12.140625" bestFit="1" customWidth="1"/>
    <col min="18" max="18" width="9.85546875" bestFit="1" customWidth="1"/>
    <col min="19" max="19" width="10.5703125" customWidth="1"/>
    <col min="20" max="20" width="9.85546875" bestFit="1" customWidth="1"/>
  </cols>
  <sheetData>
    <row r="1" spans="1:14" ht="26.25">
      <c r="A1" s="175" t="s">
        <v>92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5.7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thickBot="1">
      <c r="A3" s="279" t="s">
        <v>12</v>
      </c>
      <c r="B3" s="46"/>
      <c r="C3" s="44"/>
      <c r="D3" s="44"/>
      <c r="F3" s="42" t="s">
        <v>7</v>
      </c>
      <c r="G3" s="43"/>
      <c r="H3" s="44"/>
      <c r="I3" s="5"/>
      <c r="J3" s="5"/>
      <c r="K3" s="5"/>
      <c r="L3" s="5"/>
      <c r="M3" s="5"/>
      <c r="N3" s="5"/>
    </row>
    <row r="4" spans="1:14">
      <c r="A4" s="154" t="s">
        <v>13</v>
      </c>
      <c r="B4" s="58">
        <f>'Input,output'!H4</f>
        <v>210000</v>
      </c>
      <c r="C4" s="13" t="s">
        <v>15</v>
      </c>
      <c r="D4" s="26"/>
      <c r="F4" s="149" t="s">
        <v>4</v>
      </c>
      <c r="G4" s="60">
        <f>'Input,output'!B4</f>
        <v>100</v>
      </c>
      <c r="H4" s="17" t="s">
        <v>3</v>
      </c>
      <c r="I4" s="110">
        <f>IF(G4&gt;=(2*G7),1,0)</f>
        <v>1</v>
      </c>
      <c r="J4" s="241" t="str">
        <f>IF(G4&gt;=(2*G7),"Hoogte is ten minste gelijk aan 2x de dikte","Hoogte is kleiner dan 2x de dikte")</f>
        <v>Hoogte is ten minste gelijk aan 2x de dikte</v>
      </c>
      <c r="K4" s="241"/>
      <c r="L4" s="241"/>
      <c r="M4" s="5"/>
      <c r="N4" s="5"/>
    </row>
    <row r="5" spans="1:14">
      <c r="A5" s="149" t="s">
        <v>14</v>
      </c>
      <c r="B5" s="59">
        <f>B4/(2*(1+B6))</f>
        <v>80769.230769230766</v>
      </c>
      <c r="C5" s="6" t="s">
        <v>15</v>
      </c>
      <c r="D5" s="17"/>
      <c r="F5" s="149" t="s">
        <v>5</v>
      </c>
      <c r="G5" s="60">
        <f>'Input,output'!B5</f>
        <v>50</v>
      </c>
      <c r="H5" s="17" t="s">
        <v>3</v>
      </c>
      <c r="I5" s="110">
        <f>IF(G5&gt;=(2*G7),1,0)</f>
        <v>1</v>
      </c>
      <c r="J5" s="241" t="str">
        <f>IF(G5&gt;=(2*G7),"Breedte is ten minste gelijk aan 2x de dikte","Breedte is kleiner dan 2x de dikte")</f>
        <v>Breedte is ten minste gelijk aan 2x de dikte</v>
      </c>
      <c r="K5" s="241"/>
      <c r="L5" s="241"/>
      <c r="M5" s="5"/>
      <c r="N5" s="5"/>
    </row>
    <row r="6" spans="1:14">
      <c r="A6" s="149" t="s">
        <v>72</v>
      </c>
      <c r="B6" s="60">
        <f>'Input,output'!H5</f>
        <v>0.3</v>
      </c>
      <c r="C6" s="6"/>
      <c r="D6" s="17"/>
      <c r="F6" s="149" t="s">
        <v>6</v>
      </c>
      <c r="G6" s="60">
        <f>'Input,output'!B6</f>
        <v>20</v>
      </c>
      <c r="H6" s="17" t="s">
        <v>3</v>
      </c>
      <c r="I6" s="110">
        <f>IF(G6&lt;=(0.5*G4),1,0)</f>
        <v>1</v>
      </c>
      <c r="J6" s="241" t="str">
        <f>IF(G6&lt;=(0.5*G4),"Lip is kleiner of gelijk aan halve profielhoogte","Lip is groter dan de halve profielhoogte")</f>
        <v>Lip is kleiner of gelijk aan halve profielhoogte</v>
      </c>
      <c r="K6" s="241"/>
      <c r="L6" s="241"/>
      <c r="M6" s="5"/>
      <c r="N6" s="5"/>
    </row>
    <row r="7" spans="1:14" ht="18.75">
      <c r="A7" s="155" t="s">
        <v>93</v>
      </c>
      <c r="B7" s="60">
        <f>'Input,output'!H6</f>
        <v>350</v>
      </c>
      <c r="C7" s="6" t="s">
        <v>15</v>
      </c>
      <c r="D7" s="17"/>
      <c r="F7" s="149" t="s">
        <v>2</v>
      </c>
      <c r="G7" s="60">
        <f>'Input,output'!B7</f>
        <v>1</v>
      </c>
      <c r="H7" s="17" t="s">
        <v>3</v>
      </c>
      <c r="I7" s="110">
        <f>IF(MIN('Input,output'!B40:B41,'Input,output'!B42:B43,'Input,output'!I40:I41)&gt;0,1,0)</f>
        <v>1</v>
      </c>
      <c r="J7" s="241" t="str">
        <f>IF(MIN('Input,output'!B40:B44)&gt;0,"Alle effectieve profielmaten zijn positief","Enkele effectieve profielmaten zijn negatief")</f>
        <v>Alle effectieve profielmaten zijn positief</v>
      </c>
      <c r="K7" s="241"/>
      <c r="L7" s="241"/>
      <c r="M7" s="5"/>
      <c r="N7" s="5"/>
    </row>
    <row r="8" spans="1:14" ht="19.5" thickBot="1">
      <c r="A8" s="155" t="s">
        <v>95</v>
      </c>
      <c r="B8" s="60">
        <f>'Input,output'!H7</f>
        <v>1</v>
      </c>
      <c r="C8" s="6"/>
      <c r="D8" s="17"/>
      <c r="F8" s="157" t="s">
        <v>1</v>
      </c>
      <c r="G8" s="61">
        <f>'Input,output'!B8</f>
        <v>3</v>
      </c>
      <c r="H8" s="25" t="s">
        <v>3</v>
      </c>
      <c r="I8" s="5"/>
      <c r="J8" s="5"/>
      <c r="K8" s="5"/>
      <c r="L8" s="5"/>
      <c r="M8" s="5"/>
      <c r="N8" s="5"/>
    </row>
    <row r="9" spans="1:14" ht="19.5" thickBot="1">
      <c r="A9" s="156" t="s">
        <v>96</v>
      </c>
      <c r="B9" s="61">
        <f>'Input,output'!H8</f>
        <v>1</v>
      </c>
      <c r="C9" s="22"/>
      <c r="D9" s="25"/>
      <c r="F9" s="6"/>
      <c r="G9" s="6"/>
      <c r="H9" s="6"/>
      <c r="I9" s="5"/>
      <c r="J9" s="241" t="str">
        <f>IF(SUM(I4:I7)=4,"Profiel fysisch mogelijk","Profiel fysisch niet mogelijk")</f>
        <v>Profiel fysisch mogelijk</v>
      </c>
      <c r="K9" s="241"/>
      <c r="L9" s="241"/>
      <c r="M9" s="5"/>
      <c r="N9" s="5"/>
    </row>
    <row r="10" spans="1:14">
      <c r="A10" s="5"/>
      <c r="B10" s="32"/>
      <c r="C10" s="32"/>
      <c r="D10" s="32"/>
      <c r="I10" s="5"/>
      <c r="J10" s="5"/>
      <c r="K10" s="5"/>
      <c r="L10" s="6"/>
      <c r="M10" s="6"/>
      <c r="N10" s="5"/>
    </row>
    <row r="11" spans="1:14">
      <c r="A11" s="6"/>
      <c r="B11" s="5"/>
      <c r="C11" s="5"/>
      <c r="D11" s="8"/>
      <c r="E11" s="9"/>
      <c r="F11" s="5"/>
      <c r="G11" s="5"/>
      <c r="H11" s="5"/>
      <c r="I11" s="5"/>
      <c r="J11" s="73"/>
      <c r="K11" s="177"/>
      <c r="L11" s="5"/>
      <c r="M11" s="6"/>
      <c r="N11" s="5"/>
    </row>
    <row r="12" spans="1:14">
      <c r="A12" s="38" t="s">
        <v>37</v>
      </c>
      <c r="B12" s="32"/>
      <c r="C12" s="32"/>
      <c r="D12" s="32"/>
      <c r="E12" s="32"/>
      <c r="F12" s="32"/>
      <c r="G12" s="5"/>
      <c r="H12" s="5"/>
      <c r="I12" s="5"/>
      <c r="J12" s="73"/>
      <c r="K12" s="177"/>
      <c r="L12" s="5"/>
      <c r="M12" s="5"/>
      <c r="N12" s="5"/>
    </row>
    <row r="13" spans="1:14" ht="15.75">
      <c r="A13" s="241" t="s">
        <v>98</v>
      </c>
      <c r="B13" s="241"/>
      <c r="C13" s="32">
        <f>G8</f>
        <v>3</v>
      </c>
      <c r="D13" s="78" t="s">
        <v>38</v>
      </c>
      <c r="E13" s="39">
        <f>5*G7</f>
        <v>5</v>
      </c>
      <c r="F13" s="243" t="str">
        <f>IF(C13&lt;=E13,IF(C14&lt;=E14,"Invl. afrondingsstralen mag worden genegeerd","Invl. afrondingsstralen mag niet worden genegeerd"),"Invl. afrondingsstralen mag niet worden genegeerd")</f>
        <v>Invl. afrondingsstralen mag niet worden genegeerd</v>
      </c>
      <c r="G13" s="243"/>
      <c r="H13" s="243"/>
      <c r="I13" s="243"/>
      <c r="K13" s="178" t="s">
        <v>69</v>
      </c>
      <c r="L13" s="5"/>
      <c r="N13" s="5"/>
    </row>
    <row r="14" spans="1:14" ht="19.5">
      <c r="A14" s="242" t="s">
        <v>99</v>
      </c>
      <c r="B14" s="242"/>
      <c r="C14" s="32">
        <f>G8</f>
        <v>3</v>
      </c>
      <c r="D14" s="78" t="s">
        <v>38</v>
      </c>
      <c r="E14" s="39">
        <f>0.1*MIN(B31,D31,F31)</f>
        <v>1.8474873734152917</v>
      </c>
      <c r="F14" s="243"/>
      <c r="G14" s="243"/>
      <c r="H14" s="243"/>
      <c r="I14" s="243"/>
      <c r="K14" s="178" t="s">
        <v>69</v>
      </c>
      <c r="L14" s="5"/>
      <c r="M14" s="5"/>
      <c r="N14" s="5"/>
    </row>
    <row r="15" spans="1:14" ht="15.75">
      <c r="A15" s="93"/>
      <c r="B15" s="93"/>
      <c r="C15" s="32"/>
      <c r="D15" s="78"/>
      <c r="E15" s="39"/>
      <c r="F15" s="100"/>
      <c r="G15" s="100"/>
      <c r="H15" s="100"/>
      <c r="I15" s="100"/>
      <c r="K15" s="75"/>
      <c r="L15" s="5"/>
      <c r="M15" s="5"/>
      <c r="N15" s="5"/>
    </row>
    <row r="16" spans="1:14" ht="15.75">
      <c r="A16" s="93"/>
      <c r="B16" s="93"/>
      <c r="C16" s="32"/>
      <c r="D16" s="78"/>
      <c r="E16" s="39"/>
      <c r="F16" s="100"/>
      <c r="G16" s="100"/>
      <c r="H16" s="100"/>
      <c r="I16" s="100"/>
      <c r="K16" s="75"/>
      <c r="L16" s="5"/>
      <c r="M16" s="5"/>
      <c r="N16" s="5"/>
    </row>
    <row r="17" spans="1:21" ht="16.5" thickBot="1">
      <c r="A17" s="6"/>
      <c r="B17" s="33"/>
      <c r="C17" s="6"/>
      <c r="D17" s="32"/>
      <c r="E17" s="33"/>
      <c r="F17" s="39"/>
      <c r="G17" s="30"/>
      <c r="H17" s="30"/>
      <c r="I17" s="30"/>
      <c r="J17" s="30"/>
      <c r="K17" s="30"/>
      <c r="L17" s="5"/>
      <c r="M17" s="5"/>
      <c r="N17" s="5"/>
    </row>
    <row r="18" spans="1:21" ht="15.75" thickBot="1">
      <c r="A18" s="42" t="s">
        <v>0</v>
      </c>
      <c r="B18" s="43"/>
      <c r="C18" s="44"/>
      <c r="D18" s="44"/>
      <c r="L18" s="8"/>
      <c r="M18" s="5"/>
      <c r="N18" s="5"/>
    </row>
    <row r="19" spans="1:21" ht="15" customHeight="1">
      <c r="A19" s="155" t="s">
        <v>100</v>
      </c>
      <c r="B19" s="64">
        <f>G8+(G7/2)</f>
        <v>3.5</v>
      </c>
      <c r="C19" s="6" t="s">
        <v>3</v>
      </c>
      <c r="D19" s="17"/>
      <c r="J19" s="32"/>
      <c r="K19" s="179" t="s">
        <v>147</v>
      </c>
      <c r="L19" s="179"/>
      <c r="M19" s="179"/>
      <c r="N19" s="179"/>
      <c r="O19" s="179"/>
      <c r="P19" s="179"/>
      <c r="Q19" s="5"/>
      <c r="R19" s="5"/>
      <c r="S19" s="5"/>
      <c r="T19" s="5"/>
      <c r="U19" s="5"/>
    </row>
    <row r="20" spans="1:21" ht="18.75">
      <c r="A20" s="155" t="s">
        <v>24</v>
      </c>
      <c r="B20" s="64">
        <f>B19*(TAN(45*PI()/180)-SIN(45*PI()/180))</f>
        <v>1.0251262658470834</v>
      </c>
      <c r="C20" s="6" t="s">
        <v>3</v>
      </c>
      <c r="D20" s="17"/>
      <c r="J20" s="32"/>
      <c r="K20" s="179" t="s">
        <v>148</v>
      </c>
      <c r="L20" s="179"/>
      <c r="M20" s="179"/>
      <c r="N20" s="179"/>
      <c r="O20" s="179"/>
      <c r="P20" s="179"/>
      <c r="Q20" s="5"/>
      <c r="R20" s="5"/>
      <c r="S20" s="5"/>
      <c r="T20" s="5"/>
      <c r="U20" s="5"/>
    </row>
    <row r="21" spans="1:21" ht="21.75">
      <c r="A21" s="158" t="s">
        <v>101</v>
      </c>
      <c r="B21" s="64">
        <f>0.5*PI()*B19</f>
        <v>5.497787143782138</v>
      </c>
      <c r="C21" s="6" t="s">
        <v>3</v>
      </c>
      <c r="D21" s="17"/>
      <c r="J21" s="32"/>
      <c r="K21" s="179" t="s">
        <v>237</v>
      </c>
      <c r="L21" s="179"/>
      <c r="M21" s="179"/>
      <c r="N21" s="179"/>
      <c r="O21" s="179"/>
      <c r="P21" s="179"/>
      <c r="Q21" s="5"/>
      <c r="R21" s="5"/>
      <c r="S21" s="5"/>
      <c r="T21" s="5"/>
      <c r="U21" s="5"/>
    </row>
    <row r="22" spans="1:21" ht="18.75">
      <c r="A22" s="155" t="s">
        <v>102</v>
      </c>
      <c r="B22" s="64">
        <f>0.637*B19</f>
        <v>2.2294999999999998</v>
      </c>
      <c r="C22" s="6" t="s">
        <v>3</v>
      </c>
      <c r="D22" s="17"/>
      <c r="J22" s="32"/>
      <c r="K22" s="179" t="s">
        <v>150</v>
      </c>
      <c r="L22" s="179"/>
      <c r="M22" s="179"/>
      <c r="N22" s="179"/>
      <c r="O22" s="179"/>
      <c r="P22" s="179"/>
      <c r="Q22" s="5"/>
      <c r="R22" s="5"/>
      <c r="S22" s="5"/>
      <c r="T22" s="5"/>
      <c r="U22" s="5"/>
    </row>
    <row r="23" spans="1:21" ht="18.75">
      <c r="A23" s="155" t="s">
        <v>103</v>
      </c>
      <c r="B23" s="64">
        <f>0.149*(POWER(B19,3)*G7)</f>
        <v>6.3883749999999999</v>
      </c>
      <c r="C23" s="6" t="s">
        <v>20</v>
      </c>
      <c r="D23" s="17"/>
      <c r="E23" s="32"/>
      <c r="F23" s="32"/>
      <c r="G23" s="32"/>
      <c r="H23" s="32"/>
      <c r="I23" s="32"/>
      <c r="J23" s="32"/>
      <c r="K23" s="179" t="s">
        <v>151</v>
      </c>
      <c r="L23" s="179"/>
      <c r="M23" s="179"/>
      <c r="N23" s="179"/>
      <c r="O23" s="179"/>
      <c r="P23" s="179"/>
      <c r="Q23" s="5"/>
      <c r="R23" s="5"/>
      <c r="S23" s="5"/>
      <c r="T23" s="5"/>
      <c r="U23" s="5"/>
    </row>
    <row r="24" spans="1:21" ht="19.5" thickBot="1">
      <c r="A24" s="157" t="s">
        <v>104</v>
      </c>
      <c r="B24" s="65">
        <f>B21*G7</f>
        <v>5.497787143782138</v>
      </c>
      <c r="C24" s="22" t="s">
        <v>8</v>
      </c>
      <c r="D24" s="25"/>
      <c r="E24" s="32"/>
      <c r="F24" s="32"/>
      <c r="G24" s="32"/>
      <c r="H24" s="32"/>
      <c r="I24" s="32"/>
      <c r="J24" s="32"/>
      <c r="K24" s="179" t="s">
        <v>238</v>
      </c>
      <c r="L24" s="179"/>
      <c r="M24" s="179"/>
      <c r="N24" s="179"/>
      <c r="O24" s="179"/>
      <c r="P24" s="179"/>
      <c r="Q24" s="5"/>
      <c r="R24" s="5"/>
      <c r="S24" s="5"/>
      <c r="T24" s="5"/>
      <c r="U24" s="5"/>
    </row>
    <row r="25" spans="1:21">
      <c r="A25" s="112" t="str">
        <f>IF(B19=0,"Let op! Er wordt gerekend met scherpe hoeken!"," ")</f>
        <v xml:space="preserve"> </v>
      </c>
      <c r="B25" s="49"/>
      <c r="C25" s="6"/>
      <c r="D25" s="32"/>
      <c r="E25" s="32"/>
      <c r="F25" s="32"/>
      <c r="G25" s="32"/>
      <c r="H25" s="32"/>
      <c r="I25" s="32"/>
      <c r="J25" s="32"/>
      <c r="K25" s="179"/>
      <c r="L25" s="179"/>
      <c r="M25" s="179"/>
      <c r="N25" s="179"/>
      <c r="O25" s="179"/>
      <c r="P25" s="179"/>
      <c r="Q25" s="5"/>
      <c r="R25" s="5"/>
      <c r="S25" s="5"/>
      <c r="T25" s="5"/>
      <c r="U25" s="5"/>
    </row>
    <row r="26" spans="1:21" ht="15.75" thickBot="1">
      <c r="A26" s="8"/>
      <c r="B26" s="49"/>
      <c r="C26" s="6"/>
      <c r="D26" s="32"/>
      <c r="E26" s="32"/>
      <c r="F26" s="32"/>
      <c r="G26" s="32"/>
      <c r="H26" s="32"/>
      <c r="I26" s="32"/>
      <c r="J26" s="32"/>
      <c r="K26" s="179"/>
      <c r="L26" s="179"/>
      <c r="M26" s="179"/>
      <c r="N26" s="179"/>
      <c r="O26" s="179"/>
      <c r="P26" s="179"/>
      <c r="Q26" s="5"/>
      <c r="R26" s="5"/>
      <c r="S26" s="5"/>
      <c r="T26" s="5"/>
      <c r="U26" s="5"/>
    </row>
    <row r="27" spans="1:21" ht="15.75" thickBot="1">
      <c r="A27" s="42" t="s">
        <v>27</v>
      </c>
      <c r="B27" s="43"/>
      <c r="C27" s="43"/>
      <c r="D27" s="43"/>
      <c r="E27" s="43"/>
      <c r="F27" s="44"/>
      <c r="G27" s="32"/>
      <c r="H27" s="32"/>
      <c r="I27" s="32"/>
      <c r="J27" s="32"/>
      <c r="K27" s="179"/>
      <c r="L27" s="179"/>
      <c r="M27" s="179"/>
      <c r="N27" s="179"/>
      <c r="O27" s="179"/>
      <c r="P27" s="179"/>
      <c r="Q27" s="5"/>
      <c r="R27" s="5"/>
      <c r="S27" s="5"/>
      <c r="T27" s="5"/>
      <c r="U27" s="5"/>
    </row>
    <row r="28" spans="1:21" ht="18.75">
      <c r="A28" s="149" t="s">
        <v>4</v>
      </c>
      <c r="B28" s="63">
        <f>G4</f>
        <v>100</v>
      </c>
      <c r="C28" s="159" t="s">
        <v>5</v>
      </c>
      <c r="D28" s="63">
        <f>G5</f>
        <v>50</v>
      </c>
      <c r="E28" s="159" t="s">
        <v>6</v>
      </c>
      <c r="F28" s="66">
        <f>G6</f>
        <v>20</v>
      </c>
      <c r="G28" s="32"/>
      <c r="H28" s="32"/>
      <c r="I28" s="32"/>
      <c r="J28" s="32"/>
      <c r="K28" s="179" t="s">
        <v>152</v>
      </c>
      <c r="L28" s="179"/>
      <c r="M28" s="179" t="s">
        <v>153</v>
      </c>
      <c r="N28" s="179"/>
      <c r="O28" s="179" t="s">
        <v>154</v>
      </c>
      <c r="P28" s="179"/>
      <c r="Q28" s="5"/>
      <c r="R28" s="5"/>
      <c r="S28" s="5"/>
      <c r="T28" s="5"/>
      <c r="U28" s="5"/>
    </row>
    <row r="29" spans="1:21" ht="18.75">
      <c r="A29" s="149" t="s">
        <v>146</v>
      </c>
      <c r="B29" s="64">
        <f>B28-G7</f>
        <v>99</v>
      </c>
      <c r="C29" s="160" t="s">
        <v>107</v>
      </c>
      <c r="D29" s="64">
        <f>D28-G7</f>
        <v>49</v>
      </c>
      <c r="E29" s="160" t="s">
        <v>110</v>
      </c>
      <c r="F29" s="67">
        <f>F28-(0.5*G7)</f>
        <v>19.5</v>
      </c>
      <c r="G29" s="32"/>
      <c r="H29" s="32"/>
      <c r="I29" s="32"/>
      <c r="J29" s="32"/>
      <c r="K29" s="179" t="s">
        <v>155</v>
      </c>
      <c r="L29" s="179"/>
      <c r="M29" s="179" t="s">
        <v>156</v>
      </c>
      <c r="N29" s="179"/>
      <c r="O29" s="179" t="s">
        <v>157</v>
      </c>
      <c r="P29" s="179"/>
      <c r="Q29" s="5"/>
      <c r="R29" s="5"/>
      <c r="S29" s="5"/>
      <c r="T29" s="5"/>
      <c r="U29" s="5"/>
    </row>
    <row r="30" spans="1:21" ht="18.75">
      <c r="A30" s="149" t="s">
        <v>105</v>
      </c>
      <c r="B30" s="64">
        <f>B29-(2*B19)</f>
        <v>92</v>
      </c>
      <c r="C30" s="160" t="s">
        <v>108</v>
      </c>
      <c r="D30" s="64">
        <f>D29-(2*B19)</f>
        <v>42</v>
      </c>
      <c r="E30" s="160" t="s">
        <v>111</v>
      </c>
      <c r="F30" s="67">
        <f>F29-B19</f>
        <v>16</v>
      </c>
      <c r="G30" s="32"/>
      <c r="H30" s="32"/>
      <c r="I30" s="32"/>
      <c r="J30" s="32"/>
      <c r="K30" s="179" t="s">
        <v>158</v>
      </c>
      <c r="L30" s="179"/>
      <c r="M30" s="179" t="s">
        <v>159</v>
      </c>
      <c r="N30" s="179"/>
      <c r="O30" s="179" t="s">
        <v>160</v>
      </c>
      <c r="P30" s="179"/>
      <c r="Q30" s="5"/>
      <c r="R30" s="5"/>
      <c r="S30" s="5"/>
      <c r="T30" s="5"/>
      <c r="U30" s="5"/>
    </row>
    <row r="31" spans="1:21" ht="19.5" thickBot="1">
      <c r="A31" s="157" t="s">
        <v>106</v>
      </c>
      <c r="B31" s="65">
        <f>B29-(2*B20)</f>
        <v>96.94974746830583</v>
      </c>
      <c r="C31" s="161" t="s">
        <v>109</v>
      </c>
      <c r="D31" s="65">
        <f>D29-(2*B20)</f>
        <v>46.94974746830583</v>
      </c>
      <c r="E31" s="161" t="s">
        <v>112</v>
      </c>
      <c r="F31" s="68">
        <f>F29-B20</f>
        <v>18.474873734152915</v>
      </c>
      <c r="G31" s="32"/>
      <c r="H31" s="32"/>
      <c r="I31" s="32"/>
      <c r="J31" s="32"/>
      <c r="K31" s="179"/>
      <c r="L31" s="179"/>
      <c r="M31" s="179"/>
      <c r="N31" s="179"/>
      <c r="O31" s="179"/>
      <c r="P31" s="179"/>
      <c r="Q31" s="5"/>
      <c r="R31" s="5"/>
      <c r="S31" s="5"/>
      <c r="T31" s="5"/>
      <c r="U31" s="5"/>
    </row>
    <row r="32" spans="1:21">
      <c r="A32" s="8"/>
      <c r="B32" s="49"/>
      <c r="C32" s="6"/>
      <c r="D32" s="32"/>
      <c r="E32" s="32"/>
      <c r="F32" s="32"/>
      <c r="G32" s="32"/>
      <c r="H32" s="32"/>
      <c r="I32" s="32"/>
      <c r="J32" s="32"/>
      <c r="K32" s="179"/>
      <c r="L32" s="179"/>
      <c r="M32" s="179"/>
      <c r="N32" s="179"/>
      <c r="O32" s="179"/>
      <c r="P32" s="179"/>
      <c r="Q32" s="5"/>
      <c r="R32" s="5"/>
      <c r="S32" s="5"/>
      <c r="T32" s="5"/>
      <c r="U32" s="5"/>
    </row>
    <row r="33" spans="1:21" ht="15.75" thickBot="1">
      <c r="A33" s="8"/>
      <c r="B33" s="49"/>
      <c r="C33" s="6"/>
      <c r="D33" s="32"/>
      <c r="E33" s="32"/>
      <c r="F33" s="32"/>
      <c r="G33" s="32"/>
      <c r="H33" s="32"/>
      <c r="I33" s="32"/>
      <c r="J33" s="32"/>
      <c r="K33" s="179"/>
      <c r="L33" s="179"/>
      <c r="M33" s="179"/>
      <c r="N33" s="179"/>
      <c r="O33" s="179"/>
      <c r="P33" s="179"/>
      <c r="Q33" s="5"/>
      <c r="R33" s="5"/>
      <c r="S33" s="5"/>
      <c r="T33" s="5"/>
      <c r="U33" s="5"/>
    </row>
    <row r="34" spans="1:21" ht="15.75" thickBot="1">
      <c r="A34" s="279" t="s">
        <v>173</v>
      </c>
      <c r="B34" s="43"/>
      <c r="C34" s="43"/>
      <c r="D34" s="43"/>
      <c r="E34" s="48"/>
      <c r="F34" s="43"/>
      <c r="G34" s="43"/>
      <c r="H34" s="44"/>
      <c r="I34" s="5"/>
      <c r="J34" s="6"/>
      <c r="K34" s="179"/>
      <c r="L34" s="179"/>
      <c r="M34" s="179"/>
      <c r="N34" s="179"/>
      <c r="O34" s="179"/>
      <c r="P34" s="179"/>
      <c r="Q34" s="5"/>
      <c r="R34" s="5"/>
      <c r="S34" s="5"/>
      <c r="T34" s="5"/>
      <c r="U34" s="5"/>
    </row>
    <row r="35" spans="1:21">
      <c r="A35" s="180" t="s">
        <v>174</v>
      </c>
      <c r="B35" s="79"/>
      <c r="C35" s="79"/>
      <c r="D35" s="280"/>
      <c r="E35" s="181" t="s">
        <v>175</v>
      </c>
      <c r="F35" s="41"/>
      <c r="G35" s="41"/>
      <c r="H35" s="74"/>
      <c r="I35" s="5"/>
      <c r="J35" s="8"/>
      <c r="K35" s="179"/>
      <c r="L35" s="179"/>
      <c r="M35" s="179"/>
      <c r="N35" s="179"/>
      <c r="O35" s="179"/>
      <c r="P35" s="179"/>
      <c r="Q35" s="5"/>
      <c r="R35" s="5"/>
      <c r="S35" s="5"/>
      <c r="T35" s="5"/>
      <c r="U35" s="5"/>
    </row>
    <row r="36" spans="1:21" ht="18.75">
      <c r="A36" s="182" t="s">
        <v>176</v>
      </c>
      <c r="B36" s="127">
        <f>(2*G5*G7)+(G7*(G4-(2*G7)))+(2*G7*(G6-G7))</f>
        <v>236</v>
      </c>
      <c r="C36" s="121" t="s">
        <v>8</v>
      </c>
      <c r="D36" s="167" t="s">
        <v>181</v>
      </c>
      <c r="E36" s="127">
        <f>(G7*B30)+(2*D30*G7)+(2*G7*F30)+(4*B24)</f>
        <v>229.99114857512856</v>
      </c>
      <c r="F36" s="136" t="s">
        <v>8</v>
      </c>
      <c r="G36" s="137"/>
      <c r="H36" s="138"/>
      <c r="I36" s="32"/>
      <c r="J36" s="6"/>
      <c r="K36" s="179" t="s">
        <v>161</v>
      </c>
      <c r="L36" s="179"/>
      <c r="M36" s="179"/>
      <c r="N36" s="179"/>
      <c r="O36" s="179"/>
      <c r="P36" s="179"/>
      <c r="Q36" s="5"/>
      <c r="R36" s="5"/>
      <c r="S36" s="5"/>
      <c r="T36" s="5"/>
      <c r="U36" s="5"/>
    </row>
    <row r="37" spans="1:21" ht="18.75">
      <c r="A37" s="183" t="s">
        <v>114</v>
      </c>
      <c r="B37" s="64">
        <f>(((2*G5*G7*(0.5*G5))+(G7*(G4-(2*G7))*(0.5*G7))+(2*G7*(G6-G7)*(G5-(0.5*G7))))/((2*G5*G7)+(G7*(G4-(2*G7)))+(2*G7*(G6-G7))))-(G7/2)</f>
        <v>18.271186440677965</v>
      </c>
      <c r="C37" s="70" t="s">
        <v>3</v>
      </c>
      <c r="D37" s="163" t="s">
        <v>113</v>
      </c>
      <c r="E37" s="64">
        <f>(((B30*G7*(0.5*G7))+(2*B24*((B19-B22)+(0.5*G7)))+(2*D30*G7*(0.5*G5))+(2*B24*(G5-((0.5*G7)+(B19-B22))))+(2*F30*G7*(G5-(0.5*G7))))/E36)-(G7/2)</f>
        <v>18.108449676836965</v>
      </c>
      <c r="F37" s="77" t="s">
        <v>3</v>
      </c>
      <c r="G37" s="2"/>
      <c r="H37" s="17"/>
      <c r="J37" s="6"/>
      <c r="K37" s="179" t="s">
        <v>163</v>
      </c>
      <c r="L37" s="179"/>
      <c r="M37" s="179"/>
      <c r="N37" s="179"/>
      <c r="O37" s="179"/>
      <c r="P37" s="179"/>
      <c r="Q37" s="5"/>
      <c r="R37" s="5"/>
      <c r="S37" s="5"/>
      <c r="T37" s="5"/>
      <c r="U37" s="5"/>
    </row>
    <row r="38" spans="1:21" ht="18.75">
      <c r="A38" s="183" t="s">
        <v>115</v>
      </c>
      <c r="B38" s="64">
        <f>B29/2</f>
        <v>49.5</v>
      </c>
      <c r="C38" s="70" t="s">
        <v>3</v>
      </c>
      <c r="D38" s="163" t="s">
        <v>182</v>
      </c>
      <c r="E38" s="64">
        <f>B29/2</f>
        <v>49.5</v>
      </c>
      <c r="F38" s="76" t="s">
        <v>3</v>
      </c>
      <c r="G38" s="2"/>
      <c r="H38" s="17"/>
      <c r="I38" s="5"/>
      <c r="J38" s="5"/>
      <c r="K38" s="179" t="s">
        <v>165</v>
      </c>
      <c r="L38" s="179"/>
      <c r="M38" s="179"/>
      <c r="N38" s="179"/>
      <c r="O38" s="179"/>
      <c r="P38" s="179"/>
      <c r="Q38" s="5"/>
      <c r="R38" s="5"/>
      <c r="S38" s="5"/>
      <c r="T38" s="5"/>
      <c r="U38" s="5"/>
    </row>
    <row r="39" spans="1:21" ht="18.75">
      <c r="A39" s="184" t="s">
        <v>177</v>
      </c>
      <c r="B39" s="146">
        <f>(2*(D29*G7*POWER((B29/2),2)))+((1/12)*G7*POWER(B29,3))+(2*(((1/12)*G7*POWER((F29),3))+(G7*(F29)*POWER(((B29/2)-F29+(F29/2)),2))))</f>
        <v>383841</v>
      </c>
      <c r="C39" s="70" t="s">
        <v>20</v>
      </c>
      <c r="D39" s="163" t="s">
        <v>183</v>
      </c>
      <c r="E39" s="145">
        <f>(2*((D30*G7*POWER((B29/2),2))))+((1/12)*G7*POWER(B30,3))+(4*(B23+(B24*POWER(((B30/2)+B22),2))))+(2*(((1/12)*G7*POWER(F30,3))+(G7*F30*POWER(((G4/2)-G6+(F30/2)),2))))</f>
        <v>368781.16041513003</v>
      </c>
      <c r="F39" s="77" t="s">
        <v>20</v>
      </c>
      <c r="G39" s="2"/>
      <c r="H39" s="17"/>
      <c r="I39" s="32"/>
      <c r="J39" s="5"/>
      <c r="K39" s="179" t="s">
        <v>167</v>
      </c>
      <c r="L39" s="179"/>
      <c r="M39" s="179"/>
      <c r="N39" s="179"/>
      <c r="O39" s="179"/>
      <c r="P39" s="179"/>
      <c r="Q39" s="5"/>
      <c r="R39" s="5"/>
      <c r="S39" s="5"/>
      <c r="T39" s="5"/>
      <c r="U39" s="5"/>
    </row>
    <row r="40" spans="1:21" ht="18.75">
      <c r="A40" s="184" t="s">
        <v>178</v>
      </c>
      <c r="B40" s="147">
        <f>(G7*B29*(B37^2))+(2/12*G7*(D29^3))+(2*G7*D29*(D29/2-E37)^2)+(2*G7*F29*(D29-E37)^2)</f>
        <v>93878.670903375634</v>
      </c>
      <c r="C40" s="70" t="s">
        <v>20</v>
      </c>
      <c r="D40" s="163" t="s">
        <v>184</v>
      </c>
      <c r="E40" s="145">
        <f>((B30*G7*POWER(E37,2)))+(2*(B23+(B24*POWER((E37-(B19-B22)),2))))+(2*(((1/12)*G7*POWER(D30,3))+(D30*G7*POWER(((D29/2)-E37),2))))+(2*(B23+(B24*POWER(((D29-(B19-B22))-E37),2))))+(2*((F30*G7*POWER((D29-E37),2))))</f>
        <v>89275.610955994212</v>
      </c>
      <c r="F40" s="77" t="s">
        <v>20</v>
      </c>
      <c r="G40" s="2"/>
      <c r="H40" s="17"/>
      <c r="I40" s="32"/>
      <c r="J40" s="6"/>
      <c r="K40" s="179" t="s">
        <v>168</v>
      </c>
      <c r="L40" s="179"/>
      <c r="M40" s="179"/>
      <c r="N40" s="179"/>
      <c r="O40" s="179"/>
      <c r="P40" s="179"/>
      <c r="Q40" s="5"/>
      <c r="R40" s="5"/>
      <c r="S40" s="5"/>
      <c r="T40" s="5"/>
      <c r="U40" s="5"/>
    </row>
    <row r="41" spans="1:21" ht="18.75">
      <c r="A41" s="184" t="s">
        <v>179</v>
      </c>
      <c r="B41" s="64">
        <f>SQRT(B39/B36)</f>
        <v>40.329206727311622</v>
      </c>
      <c r="C41" s="70" t="s">
        <v>3</v>
      </c>
      <c r="D41" s="163" t="s">
        <v>185</v>
      </c>
      <c r="E41" s="64">
        <f>SQRT(E39/E36)</f>
        <v>40.04320239244128</v>
      </c>
      <c r="F41" s="77" t="s">
        <v>3</v>
      </c>
      <c r="G41" s="2"/>
      <c r="H41" s="17"/>
      <c r="I41" s="49"/>
      <c r="J41" s="6"/>
      <c r="K41" s="179" t="s">
        <v>169</v>
      </c>
      <c r="L41" s="179"/>
      <c r="M41" s="179"/>
      <c r="N41" s="179"/>
      <c r="O41" s="179"/>
      <c r="P41" s="179"/>
      <c r="Q41" s="5"/>
      <c r="R41" s="5"/>
      <c r="S41" s="5"/>
      <c r="T41" s="5"/>
      <c r="U41" s="5"/>
    </row>
    <row r="42" spans="1:21" ht="19.5" thickBot="1">
      <c r="A42" s="185" t="s">
        <v>180</v>
      </c>
      <c r="B42" s="65">
        <f>SQRT(B40/B36)</f>
        <v>19.944698002329691</v>
      </c>
      <c r="C42" s="62" t="s">
        <v>3</v>
      </c>
      <c r="D42" s="186" t="s">
        <v>186</v>
      </c>
      <c r="E42" s="65">
        <f>SQRT(E40/E36)</f>
        <v>19.702024483433789</v>
      </c>
      <c r="F42" s="96" t="s">
        <v>3</v>
      </c>
      <c r="G42" s="3"/>
      <c r="H42" s="25"/>
      <c r="I42" s="32"/>
      <c r="J42" s="6"/>
      <c r="K42" s="179" t="s">
        <v>171</v>
      </c>
      <c r="L42" s="179"/>
      <c r="M42" s="179"/>
      <c r="N42" s="179"/>
      <c r="O42" s="179"/>
      <c r="P42" s="179"/>
      <c r="Q42" s="5"/>
      <c r="R42" s="5"/>
      <c r="S42" s="5"/>
      <c r="T42" s="5"/>
      <c r="U42" s="5"/>
    </row>
    <row r="43" spans="1:21" ht="15.75">
      <c r="A43" s="112" t="str">
        <f>IF(B19=0,"Let op! Er wordt gerekend met scherpe hoeken!"," ")</f>
        <v xml:space="preserve"> </v>
      </c>
      <c r="B43" s="8"/>
      <c r="C43" s="8"/>
      <c r="D43" s="8"/>
      <c r="E43" s="34"/>
      <c r="F43" s="49"/>
      <c r="G43" s="8"/>
      <c r="H43" s="6"/>
      <c r="I43" s="32"/>
      <c r="J43" s="35"/>
      <c r="K43" s="150"/>
      <c r="L43" s="150"/>
      <c r="M43" s="150"/>
      <c r="N43" s="179"/>
      <c r="O43" s="179"/>
      <c r="P43" s="179"/>
      <c r="Q43" s="5"/>
      <c r="R43" s="5"/>
      <c r="S43" s="5"/>
      <c r="T43" s="5"/>
      <c r="U43" s="5"/>
    </row>
    <row r="44" spans="1:21" ht="15.75">
      <c r="A44" s="34"/>
      <c r="B44" s="8"/>
      <c r="C44" s="8"/>
      <c r="D44" s="8"/>
      <c r="E44" s="34"/>
      <c r="F44" s="49"/>
      <c r="G44" s="8"/>
      <c r="H44" s="6"/>
      <c r="I44" s="32"/>
      <c r="J44" s="128"/>
      <c r="K44" s="6"/>
      <c r="M44" s="6"/>
      <c r="N44" s="2"/>
      <c r="P44" s="179"/>
      <c r="Q44" s="5"/>
      <c r="R44" s="5"/>
      <c r="S44" s="5"/>
      <c r="T44" s="5"/>
      <c r="U44" s="5"/>
    </row>
    <row r="45" spans="1:21" ht="15.75">
      <c r="A45" s="34"/>
      <c r="B45" s="8"/>
      <c r="C45" s="8"/>
      <c r="D45" s="8"/>
      <c r="E45" s="34"/>
      <c r="F45" s="49"/>
      <c r="G45" s="8"/>
      <c r="H45" s="6"/>
      <c r="I45" s="32"/>
      <c r="J45" s="128"/>
      <c r="K45" s="6"/>
      <c r="M45" s="6"/>
      <c r="N45" s="2"/>
    </row>
    <row r="46" spans="1:21" ht="15.75">
      <c r="A46" s="34"/>
      <c r="B46" s="8"/>
      <c r="C46" s="8"/>
      <c r="D46" s="8"/>
      <c r="E46" s="34"/>
      <c r="F46" s="49"/>
      <c r="G46" s="8"/>
      <c r="H46" s="6"/>
      <c r="I46" s="32"/>
      <c r="J46" s="6"/>
      <c r="K46" s="6"/>
      <c r="L46" s="6"/>
      <c r="M46" s="6"/>
      <c r="N46" s="8"/>
    </row>
    <row r="47" spans="1:21" ht="15.75">
      <c r="A47" s="34"/>
      <c r="B47" s="8"/>
      <c r="C47" s="8"/>
      <c r="D47" s="8"/>
      <c r="E47" s="34"/>
      <c r="F47" s="49"/>
      <c r="G47" s="8"/>
      <c r="H47" s="6"/>
      <c r="I47" s="6"/>
      <c r="J47" s="8"/>
      <c r="K47" s="8"/>
      <c r="L47" s="8"/>
      <c r="M47" s="8"/>
      <c r="N47" s="2"/>
    </row>
    <row r="48" spans="1:21" ht="15.75">
      <c r="A48" s="34"/>
      <c r="B48" s="8"/>
      <c r="C48" s="8"/>
      <c r="D48" s="8"/>
      <c r="E48" s="34"/>
      <c r="F48" s="49"/>
      <c r="G48" s="8"/>
      <c r="H48" s="6"/>
      <c r="I48" s="6"/>
      <c r="J48" s="8"/>
      <c r="K48" s="8"/>
      <c r="L48" s="8"/>
      <c r="M48" s="8"/>
      <c r="N48" s="2"/>
    </row>
    <row r="49" spans="1:16" ht="18">
      <c r="A49" s="129"/>
      <c r="B49" s="8"/>
      <c r="C49" s="8"/>
      <c r="D49" s="8"/>
      <c r="E49" s="6"/>
      <c r="F49" s="8"/>
      <c r="G49" s="6"/>
      <c r="H49" s="6"/>
      <c r="I49" s="6"/>
      <c r="J49" s="8"/>
      <c r="K49" s="8"/>
      <c r="L49" s="8"/>
      <c r="M49" s="112"/>
      <c r="N49" s="131"/>
      <c r="O49" s="69"/>
    </row>
    <row r="50" spans="1:16">
      <c r="A50" s="130"/>
      <c r="B50" s="8"/>
      <c r="C50" s="8"/>
      <c r="D50" s="8"/>
      <c r="E50" s="8"/>
      <c r="F50" s="8"/>
      <c r="G50" s="8"/>
      <c r="H50" s="8"/>
      <c r="I50" s="8"/>
      <c r="J50" s="2"/>
      <c r="K50" s="2"/>
      <c r="L50" s="2"/>
      <c r="M50" s="2"/>
      <c r="N50" s="2"/>
      <c r="P50" s="69"/>
    </row>
    <row r="51" spans="1:16">
      <c r="A51" s="116"/>
      <c r="B51" s="8"/>
      <c r="C51" s="8"/>
      <c r="D51" s="8"/>
      <c r="E51" s="116"/>
      <c r="F51" s="8"/>
      <c r="G51" s="8"/>
      <c r="H51" s="8"/>
      <c r="I51" s="116"/>
      <c r="J51" s="2"/>
      <c r="K51" s="2"/>
      <c r="L51" s="2"/>
      <c r="M51" s="2"/>
      <c r="N51" s="2"/>
    </row>
    <row r="52" spans="1:16">
      <c r="A52" s="116"/>
      <c r="B52" s="6"/>
      <c r="C52" s="2"/>
      <c r="D52" s="2"/>
      <c r="E52" s="2"/>
      <c r="F52" s="8"/>
      <c r="G52" s="8"/>
      <c r="H52" s="8"/>
      <c r="I52" s="116"/>
      <c r="J52" s="2"/>
      <c r="K52" s="2"/>
      <c r="L52" s="2"/>
      <c r="M52" s="2"/>
      <c r="N52" s="2"/>
    </row>
    <row r="53" spans="1:1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6">
      <c r="A55" s="2"/>
      <c r="B55" s="2"/>
      <c r="C55" s="2"/>
      <c r="D55" s="2"/>
      <c r="E55" s="2"/>
      <c r="F55" s="2"/>
      <c r="G55" s="2"/>
      <c r="H55" s="2"/>
      <c r="I55" s="2"/>
    </row>
    <row r="56" spans="1:16">
      <c r="A56" s="2"/>
      <c r="B56" s="2"/>
      <c r="C56" s="2"/>
      <c r="D56" s="2"/>
      <c r="E56" s="2"/>
      <c r="F56" s="2"/>
      <c r="G56" s="2"/>
      <c r="H56" s="2"/>
      <c r="I56" s="2"/>
    </row>
    <row r="57" spans="1:16">
      <c r="A57" s="2"/>
      <c r="B57" s="2"/>
      <c r="C57" s="2"/>
      <c r="D57" s="2"/>
      <c r="E57" s="2"/>
      <c r="F57" s="2"/>
      <c r="G57" s="2"/>
      <c r="H57" s="2"/>
      <c r="I57" s="2"/>
    </row>
  </sheetData>
  <mergeCells count="8">
    <mergeCell ref="J7:L7"/>
    <mergeCell ref="J6:L6"/>
    <mergeCell ref="J5:L5"/>
    <mergeCell ref="J4:L4"/>
    <mergeCell ref="A14:B14"/>
    <mergeCell ref="A13:B13"/>
    <mergeCell ref="F13:I14"/>
    <mergeCell ref="J9:L9"/>
  </mergeCells>
  <phoneticPr fontId="0" type="noConversion"/>
  <conditionalFormatting sqref="G17:K17 F14:F16">
    <cfRule type="cellIs" dxfId="19" priority="64" operator="equal">
      <formula>"Invloed afrondingsstralen mag worden genegeerd"</formula>
    </cfRule>
    <cfRule type="cellIs" dxfId="18" priority="65" operator="equal">
      <formula>"Invloed afrondingsstralen mag niet worden genegeerd"</formula>
    </cfRule>
  </conditionalFormatting>
  <conditionalFormatting sqref="F14:I16">
    <cfRule type="cellIs" dxfId="17" priority="54" operator="equal">
      <formula>"Invl afrondingsstralen mag worden genegeerd"</formula>
    </cfRule>
    <cfRule type="cellIs" dxfId="16" priority="55" operator="equal">
      <formula>"Invl. Afrondingsstralen mag niet worden genegeerd"</formula>
    </cfRule>
  </conditionalFormatting>
  <conditionalFormatting sqref="P50 N49:O49">
    <cfRule type="containsText" dxfId="15" priority="53" operator="containsText" text="Spanningsverhouding niet mogelijk">
      <formula>NOT(ISERROR(SEARCH("Spanningsverhouding niet mogelijk",N49)))</formula>
    </cfRule>
  </conditionalFormatting>
  <conditionalFormatting sqref="F13">
    <cfRule type="cellIs" dxfId="14" priority="50" operator="equal">
      <formula>"Invloed afrondingsstralen mag worden genegeerd"</formula>
    </cfRule>
  </conditionalFormatting>
  <conditionalFormatting sqref="F13">
    <cfRule type="cellIs" dxfId="13" priority="49" operator="equal">
      <formula>"Invloeg afrondingsstralen mag niet worden genegeerd"</formula>
    </cfRule>
  </conditionalFormatting>
  <conditionalFormatting sqref="F13:I13">
    <cfRule type="cellIs" dxfId="12" priority="46" operator="equal">
      <formula>"Invl afrondingsstralen mag niet worden genegeerd"</formula>
    </cfRule>
    <cfRule type="cellIs" dxfId="11" priority="47" operator="equal">
      <formula>"Invl. Afrondingsstralen mag niet worden genegeerd"</formula>
    </cfRule>
    <cfRule type="cellIs" dxfId="10" priority="48" operator="equal">
      <formula>"Invl. Afrondingsstralen mag worden genegeerd"</formula>
    </cfRule>
  </conditionalFormatting>
  <conditionalFormatting sqref="J4:L4">
    <cfRule type="cellIs" dxfId="9" priority="44" operator="equal">
      <formula>"Hoogte is kleiner dan 2x de dikte"</formula>
    </cfRule>
    <cfRule type="cellIs" dxfId="8" priority="45" operator="equal">
      <formula>"Hoogte is ten minste gelijk aan 2x de dikte"</formula>
    </cfRule>
  </conditionalFormatting>
  <conditionalFormatting sqref="J5:L5">
    <cfRule type="cellIs" dxfId="7" priority="42" operator="equal">
      <formula>"Breedte is kleiner dan 2x de dikte"</formula>
    </cfRule>
    <cfRule type="cellIs" dxfId="6" priority="43" operator="equal">
      <formula>"Breedte is ten minste gelijk aan 2x de dikte"</formula>
    </cfRule>
  </conditionalFormatting>
  <conditionalFormatting sqref="J6:L6">
    <cfRule type="cellIs" dxfId="5" priority="40" operator="equal">
      <formula>"Lip is groter dan de halve profielhoogte"</formula>
    </cfRule>
    <cfRule type="cellIs" dxfId="4" priority="41" operator="equal">
      <formula>"Lip is kleiner of gelijk aan halve profielhoogte"</formula>
    </cfRule>
  </conditionalFormatting>
  <conditionalFormatting sqref="J7:L7">
    <cfRule type="cellIs" dxfId="3" priority="38" operator="equal">
      <formula>"Enkele effectieve profielmaten zijn negatief"</formula>
    </cfRule>
    <cfRule type="cellIs" dxfId="2" priority="39" operator="equal">
      <formula>"Alle effectieve profielmaten zijn positief"</formula>
    </cfRule>
  </conditionalFormatting>
  <conditionalFormatting sqref="J9">
    <cfRule type="cellIs" dxfId="1" priority="37" operator="equal">
      <formula>"Profiel fysisch mogelijk"</formula>
    </cfRule>
  </conditionalFormatting>
  <conditionalFormatting sqref="J9:L9">
    <cfRule type="cellIs" dxfId="0" priority="36" operator="equal">
      <formula>"Profiel fysisch niet mogelijk"</formula>
    </cfRule>
  </conditionalFormatting>
  <pageMargins left="0.19685039370078741" right="0.19685039370078741" top="0.31496062992125984" bottom="0.31496062992125984" header="0.31496062992125984" footer="0.31496062992125984"/>
  <pageSetup paperSize="9" scale="5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4"/>
  <sheetViews>
    <sheetView tabSelected="1" topLeftCell="A91" zoomScaleNormal="100" workbookViewId="0">
      <selection activeCell="A109" sqref="A109:B109"/>
    </sheetView>
  </sheetViews>
  <sheetFormatPr defaultRowHeight="15"/>
  <cols>
    <col min="2" max="2" width="12.42578125" customWidth="1"/>
    <col min="3" max="3" width="8.7109375" customWidth="1"/>
    <col min="5" max="5" width="11.140625" customWidth="1"/>
    <col min="6" max="6" width="13.28515625" customWidth="1"/>
    <col min="7" max="7" width="9.5703125" customWidth="1"/>
    <col min="8" max="8" width="12.85546875" customWidth="1"/>
    <col min="9" max="9" width="11.7109375" customWidth="1"/>
    <col min="10" max="10" width="10.28515625" customWidth="1"/>
    <col min="11" max="11" width="9.28515625" customWidth="1"/>
    <col min="12" max="12" width="24.28515625" customWidth="1"/>
    <col min="13" max="13" width="10.28515625" customWidth="1"/>
    <col min="14" max="14" width="11.42578125" customWidth="1"/>
    <col min="15" max="15" width="12" bestFit="1" customWidth="1"/>
    <col min="16" max="16" width="8.7109375" bestFit="1" customWidth="1"/>
    <col min="17" max="17" width="12.140625" bestFit="1" customWidth="1"/>
    <col min="18" max="18" width="9.85546875" bestFit="1" customWidth="1"/>
    <col min="19" max="19" width="10.5703125" customWidth="1"/>
    <col min="20" max="20" width="9.85546875" bestFit="1" customWidth="1"/>
  </cols>
  <sheetData>
    <row r="1" spans="1:14" ht="26.25">
      <c r="A1" s="175" t="s">
        <v>239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27" thickBot="1">
      <c r="A2" s="17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4" ht="15.75" hidden="1" thickBo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8.75" hidden="1" thickBot="1">
      <c r="A4" s="45" t="s">
        <v>12</v>
      </c>
      <c r="B4" s="46"/>
      <c r="C4" s="44"/>
      <c r="D4" s="44"/>
      <c r="F4" s="47" t="s">
        <v>7</v>
      </c>
      <c r="G4" s="43"/>
      <c r="H4" s="44"/>
      <c r="I4" s="5"/>
      <c r="J4" s="5"/>
      <c r="K4" s="5"/>
      <c r="L4" s="5"/>
      <c r="M4" s="5"/>
      <c r="N4" s="5"/>
    </row>
    <row r="5" spans="1:14" hidden="1">
      <c r="A5" s="154" t="s">
        <v>13</v>
      </c>
      <c r="B5" s="58">
        <f>'Input,output'!H4</f>
        <v>210000</v>
      </c>
      <c r="C5" s="13" t="s">
        <v>15</v>
      </c>
      <c r="D5" s="26"/>
      <c r="F5" s="149" t="s">
        <v>4</v>
      </c>
      <c r="G5" s="60">
        <f>'Input,output'!B4</f>
        <v>100</v>
      </c>
      <c r="H5" s="17" t="s">
        <v>3</v>
      </c>
      <c r="I5" s="5"/>
      <c r="J5" s="5"/>
    </row>
    <row r="6" spans="1:14" hidden="1">
      <c r="A6" s="149" t="s">
        <v>14</v>
      </c>
      <c r="B6" s="59">
        <f>B5/(2*(1+B7))</f>
        <v>80769.230769230766</v>
      </c>
      <c r="C6" s="6" t="s">
        <v>15</v>
      </c>
      <c r="D6" s="17"/>
      <c r="F6" s="149" t="s">
        <v>5</v>
      </c>
      <c r="G6" s="60">
        <f>'Input,output'!B5</f>
        <v>50</v>
      </c>
      <c r="H6" s="17" t="s">
        <v>3</v>
      </c>
      <c r="I6" s="5"/>
      <c r="J6" s="5"/>
    </row>
    <row r="7" spans="1:14" hidden="1">
      <c r="A7" s="149" t="s">
        <v>72</v>
      </c>
      <c r="B7" s="60">
        <f>'Input,output'!H5</f>
        <v>0.3</v>
      </c>
      <c r="C7" s="6"/>
      <c r="D7" s="17"/>
      <c r="F7" s="149" t="s">
        <v>6</v>
      </c>
      <c r="G7" s="60">
        <f>'Input,output'!B6</f>
        <v>20</v>
      </c>
      <c r="H7" s="17" t="s">
        <v>3</v>
      </c>
      <c r="I7" s="5"/>
      <c r="J7" s="5"/>
    </row>
    <row r="8" spans="1:14" ht="18.75" hidden="1">
      <c r="A8" s="155" t="s">
        <v>93</v>
      </c>
      <c r="B8" s="60">
        <f>'Input,output'!H6</f>
        <v>350</v>
      </c>
      <c r="C8" s="6" t="s">
        <v>15</v>
      </c>
      <c r="D8" s="17"/>
      <c r="F8" s="149" t="s">
        <v>2</v>
      </c>
      <c r="G8" s="60">
        <f>'Input,output'!B7</f>
        <v>1</v>
      </c>
      <c r="H8" s="17" t="s">
        <v>3</v>
      </c>
      <c r="I8" s="5"/>
      <c r="J8" s="5"/>
    </row>
    <row r="9" spans="1:14" ht="19.5" hidden="1" thickBot="1">
      <c r="A9" s="155" t="s">
        <v>187</v>
      </c>
      <c r="B9" s="60">
        <f>'Input,output'!H7</f>
        <v>1</v>
      </c>
      <c r="C9" s="6"/>
      <c r="D9" s="17"/>
      <c r="F9" s="157" t="s">
        <v>1</v>
      </c>
      <c r="G9" s="61">
        <f>'Input,output'!B8</f>
        <v>3</v>
      </c>
      <c r="H9" s="25" t="s">
        <v>3</v>
      </c>
      <c r="I9" s="5"/>
      <c r="J9" s="5"/>
    </row>
    <row r="10" spans="1:14" ht="19.5" hidden="1" thickBot="1">
      <c r="A10" s="156" t="s">
        <v>188</v>
      </c>
      <c r="B10" s="61">
        <f>'Input,output'!H8</f>
        <v>1</v>
      </c>
      <c r="C10" s="22"/>
      <c r="D10" s="25"/>
      <c r="F10" s="6"/>
      <c r="G10" s="6"/>
      <c r="H10" s="6"/>
      <c r="I10" s="5"/>
      <c r="J10" s="5"/>
    </row>
    <row r="11" spans="1:14" ht="15.75" hidden="1" thickBot="1">
      <c r="A11" s="5"/>
      <c r="B11" s="32"/>
      <c r="C11" s="32"/>
      <c r="D11" s="32"/>
      <c r="I11" s="5"/>
      <c r="J11" s="5"/>
      <c r="K11" s="5"/>
      <c r="L11" s="6"/>
      <c r="M11" s="6"/>
      <c r="N11" s="5"/>
    </row>
    <row r="12" spans="1:14" ht="15.75" hidden="1" thickBot="1">
      <c r="A12" s="42" t="s">
        <v>0</v>
      </c>
      <c r="B12" s="43"/>
      <c r="C12" s="44"/>
      <c r="D12" s="44"/>
      <c r="L12" s="8"/>
      <c r="M12" s="5"/>
      <c r="N12" s="5"/>
    </row>
    <row r="13" spans="1:14" ht="18.75" hidden="1">
      <c r="A13" s="155" t="s">
        <v>100</v>
      </c>
      <c r="B13" s="64">
        <f>G9+(G8/2)</f>
        <v>3.5</v>
      </c>
      <c r="C13" s="6" t="s">
        <v>3</v>
      </c>
      <c r="D13" s="17"/>
      <c r="J13" s="179" t="s">
        <v>147</v>
      </c>
      <c r="K13" s="179"/>
      <c r="L13" s="179"/>
      <c r="M13" s="179"/>
      <c r="N13" s="179"/>
    </row>
    <row r="14" spans="1:14" ht="18.75" hidden="1">
      <c r="A14" s="155" t="s">
        <v>24</v>
      </c>
      <c r="B14" s="64">
        <f>B13*(TAN(45*PI()/180)-SIN(45*PI()/180))</f>
        <v>1.0251262658470834</v>
      </c>
      <c r="C14" s="6" t="s">
        <v>3</v>
      </c>
      <c r="D14" s="17"/>
      <c r="J14" s="179" t="s">
        <v>148</v>
      </c>
      <c r="K14" s="179"/>
      <c r="L14" s="179"/>
      <c r="M14" s="179"/>
      <c r="N14" s="179"/>
    </row>
    <row r="15" spans="1:14" ht="21.75" hidden="1">
      <c r="A15" s="158" t="s">
        <v>101</v>
      </c>
      <c r="B15" s="64">
        <f>0.5*PI()*B13</f>
        <v>5.497787143782138</v>
      </c>
      <c r="C15" s="6" t="s">
        <v>3</v>
      </c>
      <c r="D15" s="17"/>
      <c r="J15" s="179" t="s">
        <v>149</v>
      </c>
      <c r="K15" s="179"/>
      <c r="L15" s="179"/>
      <c r="M15" s="179"/>
      <c r="N15" s="179"/>
    </row>
    <row r="16" spans="1:14" ht="18.75" hidden="1">
      <c r="A16" s="155" t="s">
        <v>102</v>
      </c>
      <c r="B16" s="64">
        <f>0.637*B13</f>
        <v>2.2294999999999998</v>
      </c>
      <c r="C16" s="6" t="s">
        <v>3</v>
      </c>
      <c r="D16" s="17"/>
      <c r="J16" s="179" t="s">
        <v>150</v>
      </c>
      <c r="K16" s="179"/>
      <c r="L16" s="179"/>
      <c r="M16" s="179"/>
      <c r="N16" s="179"/>
    </row>
    <row r="17" spans="1:14" ht="18.75" hidden="1">
      <c r="A17" s="155" t="s">
        <v>103</v>
      </c>
      <c r="B17" s="64">
        <f>0.149*(POWER(B13,3)*G8)</f>
        <v>6.3883749999999999</v>
      </c>
      <c r="C17" s="6" t="s">
        <v>20</v>
      </c>
      <c r="D17" s="17"/>
      <c r="E17" s="32"/>
      <c r="F17" s="32"/>
      <c r="G17" s="32"/>
      <c r="H17" s="32"/>
      <c r="I17" s="32"/>
      <c r="J17" s="179" t="s">
        <v>151</v>
      </c>
      <c r="K17" s="179"/>
      <c r="L17" s="179"/>
      <c r="M17" s="179"/>
      <c r="N17" s="179"/>
    </row>
    <row r="18" spans="1:14" ht="20.25" hidden="1" thickBot="1">
      <c r="A18" s="187" t="s">
        <v>189</v>
      </c>
      <c r="B18" s="65">
        <f>B15*G8</f>
        <v>5.497787143782138</v>
      </c>
      <c r="C18" s="22" t="s">
        <v>8</v>
      </c>
      <c r="D18" s="25"/>
      <c r="E18" s="32"/>
      <c r="F18" s="32"/>
      <c r="G18" s="32"/>
      <c r="H18" s="32"/>
      <c r="I18" s="32"/>
      <c r="J18" s="179" t="s">
        <v>240</v>
      </c>
      <c r="K18" s="179"/>
      <c r="L18" s="179"/>
      <c r="M18" s="179"/>
      <c r="N18" s="179"/>
    </row>
    <row r="19" spans="1:14" hidden="1">
      <c r="A19" s="112" t="str">
        <f>IF(B13=0,"Let op! Er wordt gerekend met rechte hoeken!"," ")</f>
        <v xml:space="preserve"> </v>
      </c>
      <c r="B19" s="49"/>
      <c r="C19" s="6"/>
      <c r="D19" s="32"/>
      <c r="E19" s="32"/>
      <c r="F19" s="32"/>
      <c r="G19" s="32"/>
      <c r="H19" s="32"/>
      <c r="I19" s="32"/>
      <c r="J19" s="179"/>
      <c r="K19" s="179"/>
      <c r="L19" s="179"/>
      <c r="M19" s="179"/>
      <c r="N19" s="179"/>
    </row>
    <row r="20" spans="1:14" ht="15" hidden="1" customHeight="1" thickBot="1">
      <c r="A20" s="8"/>
      <c r="B20" s="49"/>
      <c r="C20" s="6"/>
      <c r="D20" s="32"/>
      <c r="E20" s="32"/>
      <c r="F20" s="32"/>
      <c r="G20" s="32"/>
      <c r="H20" s="32"/>
      <c r="I20" s="32"/>
      <c r="J20" s="179"/>
      <c r="K20" s="179"/>
      <c r="L20" s="179"/>
      <c r="M20" s="179"/>
      <c r="N20" s="179"/>
    </row>
    <row r="21" spans="1:14" ht="15" hidden="1" customHeight="1" thickBot="1">
      <c r="A21" s="42" t="s">
        <v>27</v>
      </c>
      <c r="B21" s="43"/>
      <c r="C21" s="43"/>
      <c r="D21" s="43"/>
      <c r="E21" s="43"/>
      <c r="F21" s="44"/>
      <c r="G21" s="32"/>
      <c r="H21" s="32"/>
      <c r="I21" s="32"/>
      <c r="J21" s="179"/>
      <c r="K21" s="179"/>
      <c r="L21" s="179"/>
      <c r="M21" s="179"/>
      <c r="N21" s="179"/>
    </row>
    <row r="22" spans="1:14" ht="18.75" hidden="1">
      <c r="A22" s="149" t="s">
        <v>4</v>
      </c>
      <c r="B22" s="63">
        <f>G5</f>
        <v>100</v>
      </c>
      <c r="C22" s="159" t="s">
        <v>5</v>
      </c>
      <c r="D22" s="63">
        <f>G6</f>
        <v>50</v>
      </c>
      <c r="E22" s="159" t="s">
        <v>6</v>
      </c>
      <c r="F22" s="66">
        <f>G7</f>
        <v>20</v>
      </c>
      <c r="G22" s="32"/>
      <c r="H22" s="32"/>
      <c r="I22" s="32"/>
      <c r="J22" s="179" t="s">
        <v>152</v>
      </c>
      <c r="K22" s="179"/>
      <c r="L22" s="179" t="s">
        <v>153</v>
      </c>
      <c r="M22" s="179" t="s">
        <v>154</v>
      </c>
    </row>
    <row r="23" spans="1:14" ht="19.5" hidden="1">
      <c r="A23" s="188" t="s">
        <v>228</v>
      </c>
      <c r="B23" s="64">
        <f>B22-G8</f>
        <v>99</v>
      </c>
      <c r="C23" s="189" t="s">
        <v>192</v>
      </c>
      <c r="D23" s="64">
        <f>D22-G8</f>
        <v>49</v>
      </c>
      <c r="E23" s="189" t="s">
        <v>195</v>
      </c>
      <c r="F23" s="67">
        <f>F22-(0.5*G8)</f>
        <v>19.5</v>
      </c>
      <c r="G23" s="32"/>
      <c r="H23" s="32"/>
      <c r="I23" s="32"/>
      <c r="J23" s="179" t="s">
        <v>155</v>
      </c>
      <c r="K23" s="179"/>
      <c r="L23" s="179" t="s">
        <v>156</v>
      </c>
      <c r="M23" s="179" t="s">
        <v>157</v>
      </c>
    </row>
    <row r="24" spans="1:14" ht="19.5" hidden="1">
      <c r="A24" s="188" t="s">
        <v>190</v>
      </c>
      <c r="B24" s="64">
        <f>B23-(2*B13)</f>
        <v>92</v>
      </c>
      <c r="C24" s="189" t="s">
        <v>193</v>
      </c>
      <c r="D24" s="64">
        <f>D23-(2*B13)</f>
        <v>42</v>
      </c>
      <c r="E24" s="189" t="s">
        <v>196</v>
      </c>
      <c r="F24" s="67">
        <f>F23-B13</f>
        <v>16</v>
      </c>
      <c r="G24" s="32"/>
      <c r="H24" s="32"/>
      <c r="I24" s="32"/>
      <c r="J24" s="179" t="s">
        <v>158</v>
      </c>
      <c r="K24" s="179"/>
      <c r="L24" s="179" t="s">
        <v>159</v>
      </c>
      <c r="M24" s="179" t="s">
        <v>160</v>
      </c>
    </row>
    <row r="25" spans="1:14" ht="20.25" hidden="1" thickBot="1">
      <c r="A25" s="187" t="s">
        <v>191</v>
      </c>
      <c r="B25" s="65">
        <f>B23-(2*B14)</f>
        <v>96.94974746830583</v>
      </c>
      <c r="C25" s="190" t="s">
        <v>194</v>
      </c>
      <c r="D25" s="65">
        <f>D23-(2*B14)</f>
        <v>46.94974746830583</v>
      </c>
      <c r="E25" s="190" t="s">
        <v>197</v>
      </c>
      <c r="F25" s="68">
        <f>F23-B14</f>
        <v>18.474873734152915</v>
      </c>
      <c r="G25" s="32"/>
      <c r="H25" s="32"/>
      <c r="I25" s="32"/>
      <c r="J25" s="179"/>
      <c r="K25" s="179"/>
      <c r="L25" s="179"/>
      <c r="M25" s="179"/>
      <c r="N25" s="179"/>
    </row>
    <row r="26" spans="1:14" ht="18.75" hidden="1">
      <c r="A26" s="8"/>
      <c r="B26" s="49"/>
      <c r="C26" s="6"/>
      <c r="D26" s="32"/>
      <c r="E26" s="32"/>
      <c r="F26" s="32"/>
      <c r="G26" s="32"/>
      <c r="H26" s="32"/>
      <c r="I26" s="32"/>
      <c r="J26" s="179" t="s">
        <v>161</v>
      </c>
      <c r="K26" s="179"/>
      <c r="L26" s="179"/>
      <c r="M26" s="179"/>
      <c r="N26" s="179"/>
    </row>
    <row r="27" spans="1:14" ht="19.5" hidden="1" thickBot="1">
      <c r="A27" s="8"/>
      <c r="B27" s="49"/>
      <c r="C27" s="6"/>
      <c r="D27" s="32"/>
      <c r="E27" s="32"/>
      <c r="F27" s="32"/>
      <c r="G27" s="32"/>
      <c r="H27" s="32"/>
      <c r="I27" s="32"/>
      <c r="J27" s="179" t="s">
        <v>162</v>
      </c>
      <c r="K27" s="179"/>
      <c r="L27" s="179"/>
      <c r="M27" s="179"/>
      <c r="N27" s="179"/>
    </row>
    <row r="28" spans="1:14" ht="20.25" hidden="1" thickBot="1">
      <c r="A28" s="45" t="s">
        <v>173</v>
      </c>
      <c r="B28" s="43"/>
      <c r="C28" s="43"/>
      <c r="D28" s="43"/>
      <c r="E28" s="48"/>
      <c r="F28" s="43"/>
      <c r="G28" s="43"/>
      <c r="H28" s="44"/>
      <c r="I28" s="5"/>
      <c r="J28" s="179" t="s">
        <v>163</v>
      </c>
      <c r="K28" s="179"/>
      <c r="L28" s="179"/>
      <c r="M28" s="179"/>
      <c r="N28" s="179"/>
    </row>
    <row r="29" spans="1:14" ht="18.75" hidden="1">
      <c r="A29" s="180" t="s">
        <v>174</v>
      </c>
      <c r="B29" s="79"/>
      <c r="C29" s="79"/>
      <c r="D29" s="181" t="s">
        <v>175</v>
      </c>
      <c r="E29" s="41"/>
      <c r="F29" s="41"/>
      <c r="G29" s="40"/>
      <c r="H29" s="74"/>
      <c r="I29" s="5"/>
      <c r="J29" s="179" t="s">
        <v>164</v>
      </c>
      <c r="K29" s="179"/>
      <c r="L29" s="179"/>
      <c r="M29" s="179"/>
      <c r="N29" s="179"/>
    </row>
    <row r="30" spans="1:14" ht="19.5" hidden="1">
      <c r="A30" s="191" t="s">
        <v>198</v>
      </c>
      <c r="B30" s="64">
        <f>(2*G6*G8)+(G8*(G5-(2*G8)))+(2*G8*(G7-G8))</f>
        <v>236</v>
      </c>
      <c r="C30" s="70" t="s">
        <v>8</v>
      </c>
      <c r="D30" s="193" t="s">
        <v>203</v>
      </c>
      <c r="E30" s="64">
        <f>(G8*B24)+(2*D24*G8)+(2*G8*F24)+(4*B18)</f>
        <v>229.99114857512856</v>
      </c>
      <c r="F30" s="76" t="s">
        <v>8</v>
      </c>
      <c r="G30" s="2"/>
      <c r="H30" s="17"/>
      <c r="I30" s="32"/>
      <c r="J30" s="179" t="s">
        <v>165</v>
      </c>
      <c r="K30" s="179"/>
      <c r="L30" s="179"/>
      <c r="M30" s="179"/>
      <c r="N30" s="179"/>
    </row>
    <row r="31" spans="1:14" ht="19.5" hidden="1">
      <c r="A31" s="183" t="s">
        <v>22</v>
      </c>
      <c r="B31" s="64">
        <f>(((2*G6*G8*(0.5*G6))+(G8*(G5-(2*G8))*(0.5*G8))+(2*G8*(G7-G8)*(G6-(0.5*G8))))/((2*G6*G8)+(G8*(G5-(2*G8)))+(2*G8*(G7-G8))))-(G8/2)</f>
        <v>18.271186440677965</v>
      </c>
      <c r="C31" s="70" t="s">
        <v>3</v>
      </c>
      <c r="D31" s="193" t="s">
        <v>64</v>
      </c>
      <c r="E31" s="64">
        <f>(((B24*G8*(0.5*G8))+(2*B18*((B13-B16)+(0.5*G8)))+(2*D24*G8*(0.5*G6))+(2*B18*(G6-((0.5*G8)+(B13-B16))))+(2*F24*G8*(G6-(0.5*G8))))/E30)-(G8/2)</f>
        <v>18.108449676836965</v>
      </c>
      <c r="F31" s="77" t="s">
        <v>3</v>
      </c>
      <c r="G31" s="2"/>
      <c r="H31" s="17"/>
      <c r="J31" s="179" t="s">
        <v>166</v>
      </c>
      <c r="K31" s="179"/>
      <c r="L31" s="179"/>
      <c r="M31" s="179"/>
      <c r="N31" s="179"/>
    </row>
    <row r="32" spans="1:14" ht="19.5" hidden="1">
      <c r="A32" s="183" t="s">
        <v>26</v>
      </c>
      <c r="B32" s="64">
        <f>B23/2</f>
        <v>49.5</v>
      </c>
      <c r="C32" s="70" t="s">
        <v>3</v>
      </c>
      <c r="D32" s="193" t="s">
        <v>204</v>
      </c>
      <c r="E32" s="64">
        <f>B23/2</f>
        <v>49.5</v>
      </c>
      <c r="F32" s="76" t="s">
        <v>3</v>
      </c>
      <c r="G32" s="2"/>
      <c r="H32" s="17"/>
      <c r="I32" s="5"/>
      <c r="J32" s="179" t="s">
        <v>209</v>
      </c>
      <c r="K32" s="179"/>
      <c r="L32" s="179"/>
      <c r="M32" s="179"/>
      <c r="N32" s="179"/>
    </row>
    <row r="33" spans="1:14" ht="19.5" hidden="1">
      <c r="A33" s="191" t="s">
        <v>199</v>
      </c>
      <c r="B33" s="146">
        <f>(2*(D23*G8*POWER((B23/2),2)))+((1/12)*G8*POWER(B23,3))+(2*(((1/12)*G8*POWER((F23),3))+(G8*(F23)*POWER(((B23/2)-F23+(F23/2)),2))))</f>
        <v>383841</v>
      </c>
      <c r="C33" s="70" t="s">
        <v>20</v>
      </c>
      <c r="D33" s="193" t="s">
        <v>205</v>
      </c>
      <c r="E33" s="145">
        <f>(2*((D24*G8*POWER((B23/2),2))))+((1/12)*G8*POWER(B24,3))+(4*(B17+(B18*POWER(((B24/2)+B16),2))))+(2*(((1/12)*G8*POWER(F24,3))+(G8*F24*POWER(((G5/2)-G7+(F24/2)),2))))</f>
        <v>368781.16041513003</v>
      </c>
      <c r="F33" s="77" t="s">
        <v>20</v>
      </c>
      <c r="G33" s="2"/>
      <c r="H33" s="17"/>
      <c r="I33" s="32"/>
      <c r="J33" s="179" t="s">
        <v>210</v>
      </c>
      <c r="K33" s="179"/>
      <c r="L33" s="179"/>
      <c r="M33" s="179"/>
      <c r="N33" s="179"/>
    </row>
    <row r="34" spans="1:14" ht="19.5" hidden="1">
      <c r="A34" s="191" t="s">
        <v>200</v>
      </c>
      <c r="B34" s="147">
        <f>(G8*B23*(B31^2))+(2/12*G8*(D23^3))+(2*G8*D23*(D23/2-E31)^2)+(2*G8*F23*(D23-E31)^2)</f>
        <v>93878.670903375634</v>
      </c>
      <c r="C34" s="70" t="s">
        <v>20</v>
      </c>
      <c r="D34" s="193" t="s">
        <v>206</v>
      </c>
      <c r="E34" s="145">
        <f>((B24*G8*POWER(E31,2)))+(2*(B17+(B18*POWER((E31-(B13-B16)),2))))+(2*(((1/12)*G8*POWER(D24,3))+(D24*G8*POWER(((D23/2)-E31),2))))+(2*(B17+(B18*POWER(((D23-(B13-B16))-E31),2))))+(2*((F24*G8*POWER((D23-E31),2))))</f>
        <v>89275.610955994212</v>
      </c>
      <c r="F34" s="77" t="s">
        <v>20</v>
      </c>
      <c r="G34" s="2"/>
      <c r="H34" s="17"/>
      <c r="I34" s="32"/>
      <c r="J34" s="179" t="s">
        <v>211</v>
      </c>
      <c r="K34" s="179"/>
      <c r="L34" s="179"/>
      <c r="M34" s="179"/>
      <c r="N34" s="179"/>
    </row>
    <row r="35" spans="1:14" ht="19.5" hidden="1">
      <c r="A35" s="191" t="s">
        <v>201</v>
      </c>
      <c r="B35" s="64">
        <f>SQRT(B33/B30)</f>
        <v>40.329206727311622</v>
      </c>
      <c r="C35" s="70" t="s">
        <v>3</v>
      </c>
      <c r="D35" s="193" t="s">
        <v>207</v>
      </c>
      <c r="E35" s="64">
        <f>SQRT(E33/E30)</f>
        <v>40.04320239244128</v>
      </c>
      <c r="F35" s="77" t="s">
        <v>3</v>
      </c>
      <c r="G35" s="2"/>
      <c r="H35" s="17"/>
      <c r="I35" s="49"/>
      <c r="J35" s="179" t="s">
        <v>212</v>
      </c>
      <c r="K35" s="179"/>
      <c r="L35" s="179"/>
      <c r="M35" s="179"/>
      <c r="N35" s="179"/>
    </row>
    <row r="36" spans="1:14" ht="20.25" hidden="1" thickBot="1">
      <c r="A36" s="192" t="s">
        <v>202</v>
      </c>
      <c r="B36" s="65">
        <f>SQRT(B34/B30)</f>
        <v>19.944698002329691</v>
      </c>
      <c r="C36" s="62" t="s">
        <v>3</v>
      </c>
      <c r="D36" s="194" t="s">
        <v>208</v>
      </c>
      <c r="E36" s="65">
        <f>SQRT(E34/E30)</f>
        <v>19.702024483433789</v>
      </c>
      <c r="F36" s="96" t="s">
        <v>3</v>
      </c>
      <c r="G36" s="3"/>
      <c r="H36" s="25"/>
      <c r="I36" s="32"/>
      <c r="J36" s="179" t="s">
        <v>169</v>
      </c>
      <c r="K36" s="179"/>
      <c r="L36" s="179"/>
      <c r="M36" s="179"/>
      <c r="N36" s="179"/>
    </row>
    <row r="37" spans="1:14" ht="18.75" hidden="1">
      <c r="A37" s="112" t="str">
        <f>IF(B13=0,"Let op! Er wordt gerekend met rechte hoeken!"," ")</f>
        <v xml:space="preserve"> </v>
      </c>
      <c r="B37" s="8"/>
      <c r="C37" s="8"/>
      <c r="D37" s="8"/>
      <c r="E37" s="34"/>
      <c r="F37" s="49"/>
      <c r="G37" s="8"/>
      <c r="H37" s="6"/>
      <c r="I37" s="32"/>
      <c r="J37" s="179" t="s">
        <v>170</v>
      </c>
      <c r="K37" s="179"/>
      <c r="L37" s="179"/>
      <c r="M37" s="179"/>
      <c r="N37" s="179"/>
    </row>
    <row r="38" spans="1:14" ht="18.75" hidden="1">
      <c r="A38" s="34"/>
      <c r="B38" s="8"/>
      <c r="C38" s="8"/>
      <c r="D38" s="8"/>
      <c r="E38" s="34"/>
      <c r="F38" s="49"/>
      <c r="G38" s="8"/>
      <c r="H38" s="6"/>
      <c r="I38" s="32"/>
      <c r="J38" s="179" t="s">
        <v>171</v>
      </c>
      <c r="K38" s="179"/>
      <c r="L38" s="179"/>
      <c r="M38" s="179"/>
      <c r="N38" s="179"/>
    </row>
    <row r="39" spans="1:14" ht="18.75" hidden="1">
      <c r="A39" s="34"/>
      <c r="B39" s="8"/>
      <c r="C39" s="8"/>
      <c r="D39" s="8"/>
      <c r="E39" s="34"/>
      <c r="F39" s="49"/>
      <c r="G39" s="8"/>
      <c r="H39" s="6"/>
      <c r="I39" s="32"/>
      <c r="J39" s="179" t="s">
        <v>172</v>
      </c>
      <c r="K39" s="179"/>
      <c r="L39" s="179"/>
      <c r="M39" s="179"/>
      <c r="N39" s="179"/>
    </row>
    <row r="40" spans="1:14" ht="15.75" hidden="1">
      <c r="A40" s="34"/>
      <c r="B40" s="8"/>
      <c r="C40" s="8"/>
      <c r="D40" s="8"/>
      <c r="E40" s="34"/>
      <c r="F40" s="49"/>
      <c r="G40" s="8"/>
      <c r="H40" s="6"/>
      <c r="I40" s="32"/>
      <c r="J40" s="179"/>
      <c r="K40" s="179"/>
      <c r="L40" s="179"/>
      <c r="M40" s="179"/>
      <c r="N40" s="179"/>
    </row>
    <row r="41" spans="1:14" ht="15.75" hidden="1">
      <c r="A41" s="34"/>
      <c r="B41" s="8"/>
      <c r="C41" s="8"/>
      <c r="D41" s="8"/>
      <c r="E41" s="34"/>
      <c r="F41" s="49"/>
      <c r="G41" s="8"/>
      <c r="H41" s="6"/>
      <c r="I41" s="32"/>
      <c r="J41" s="35"/>
      <c r="K41" s="6"/>
      <c r="L41" s="6"/>
      <c r="M41" s="6"/>
    </row>
    <row r="42" spans="1:14" ht="16.5" hidden="1" thickBot="1">
      <c r="A42" s="34"/>
      <c r="B42" s="8"/>
      <c r="C42" s="8"/>
      <c r="D42" s="8"/>
      <c r="E42" s="34"/>
      <c r="F42" s="49"/>
      <c r="G42" s="8"/>
      <c r="H42" s="6"/>
      <c r="I42" s="32"/>
      <c r="J42" s="35"/>
      <c r="K42" s="6"/>
      <c r="L42" s="6"/>
      <c r="M42" s="6"/>
    </row>
    <row r="43" spans="1:14" ht="15.75" thickBot="1">
      <c r="A43" s="279" t="s">
        <v>235</v>
      </c>
      <c r="B43" s="43"/>
      <c r="C43" s="43"/>
      <c r="D43" s="43"/>
      <c r="E43" s="48"/>
      <c r="F43" s="43"/>
      <c r="G43" s="48"/>
      <c r="H43" s="209"/>
      <c r="I43" s="6"/>
      <c r="J43" s="6"/>
      <c r="K43" s="5"/>
    </row>
    <row r="44" spans="1:14">
      <c r="A44" s="120"/>
      <c r="B44" s="41"/>
      <c r="C44" s="41"/>
      <c r="D44" s="41"/>
      <c r="E44" s="41"/>
      <c r="F44" s="41"/>
      <c r="G44" s="41"/>
      <c r="H44" s="74"/>
      <c r="I44" s="8"/>
      <c r="J44" s="8"/>
    </row>
    <row r="45" spans="1:14">
      <c r="A45" s="207"/>
      <c r="B45" s="8"/>
      <c r="C45" s="8"/>
      <c r="D45" s="8"/>
      <c r="E45" s="116"/>
      <c r="F45" s="8"/>
      <c r="G45" s="8"/>
      <c r="H45" s="15"/>
      <c r="I45" s="8"/>
      <c r="J45" s="8"/>
    </row>
    <row r="46" spans="1:14">
      <c r="A46" s="207"/>
      <c r="B46" s="8"/>
      <c r="C46" s="8"/>
      <c r="D46" s="8"/>
      <c r="E46" s="116"/>
      <c r="F46" s="8"/>
      <c r="G46" s="8"/>
      <c r="H46" s="15"/>
      <c r="I46" s="8"/>
      <c r="J46" s="8"/>
    </row>
    <row r="47" spans="1:14">
      <c r="A47" s="207"/>
      <c r="B47" s="8"/>
      <c r="C47" s="8"/>
      <c r="D47" s="8"/>
      <c r="E47" s="116"/>
      <c r="F47" s="8"/>
      <c r="G47" s="8"/>
      <c r="H47" s="15"/>
      <c r="I47" s="8"/>
      <c r="J47" s="8"/>
    </row>
    <row r="48" spans="1:14">
      <c r="A48" s="207"/>
      <c r="B48" s="6"/>
      <c r="C48" s="2"/>
      <c r="D48" s="2"/>
      <c r="E48" s="2"/>
      <c r="F48" s="8"/>
      <c r="G48" s="8"/>
      <c r="H48" s="15"/>
      <c r="I48" s="8"/>
      <c r="J48" s="36"/>
      <c r="K48" s="69"/>
      <c r="L48" s="69"/>
      <c r="M48" s="69"/>
    </row>
    <row r="49" spans="1:11">
      <c r="A49" s="207"/>
      <c r="B49" s="8"/>
      <c r="C49" s="2"/>
      <c r="D49" s="2"/>
      <c r="E49" s="2"/>
      <c r="F49" s="8"/>
      <c r="G49" s="8"/>
      <c r="H49" s="15"/>
      <c r="I49" s="8"/>
      <c r="J49" s="8"/>
      <c r="K49" s="5"/>
    </row>
    <row r="50" spans="1:11">
      <c r="A50" s="207"/>
      <c r="B50" s="8"/>
      <c r="C50" s="2"/>
      <c r="D50" s="2"/>
      <c r="E50" s="116"/>
      <c r="F50" s="8"/>
      <c r="G50" s="8"/>
      <c r="H50" s="15"/>
      <c r="I50" s="8"/>
      <c r="J50" s="8"/>
      <c r="K50" s="5"/>
    </row>
    <row r="51" spans="1:11">
      <c r="A51" s="1"/>
      <c r="B51" s="6"/>
      <c r="C51" s="2"/>
      <c r="D51" s="2"/>
      <c r="E51" s="2"/>
      <c r="F51" s="2"/>
      <c r="G51" s="2"/>
      <c r="H51" s="55"/>
      <c r="I51" s="8"/>
      <c r="J51" s="6"/>
      <c r="K51" s="5"/>
    </row>
    <row r="52" spans="1:11">
      <c r="A52" s="1"/>
      <c r="B52" s="8"/>
      <c r="C52" s="2"/>
      <c r="D52" s="2"/>
      <c r="E52" s="2"/>
      <c r="F52" s="2"/>
      <c r="G52" s="2"/>
      <c r="H52" s="55"/>
      <c r="I52" s="8"/>
      <c r="J52" s="29"/>
      <c r="K52" s="5"/>
    </row>
    <row r="53" spans="1:11">
      <c r="A53" s="1"/>
      <c r="B53" s="8"/>
      <c r="C53" s="2"/>
      <c r="D53" s="2"/>
      <c r="E53" s="2"/>
      <c r="F53" s="2"/>
      <c r="G53" s="2"/>
      <c r="H53" s="55"/>
      <c r="I53" s="8"/>
      <c r="J53" s="6"/>
      <c r="K53" s="5"/>
    </row>
    <row r="54" spans="1:11">
      <c r="A54" s="1"/>
      <c r="B54" s="2"/>
      <c r="C54" s="2"/>
      <c r="D54" s="2"/>
      <c r="E54" s="2"/>
      <c r="F54" s="2"/>
      <c r="G54" s="2"/>
      <c r="H54" s="55"/>
      <c r="I54" s="8"/>
      <c r="J54" s="6"/>
      <c r="K54" s="5"/>
    </row>
    <row r="55" spans="1:11">
      <c r="A55" s="1"/>
      <c r="B55" s="2"/>
      <c r="C55" s="2"/>
      <c r="D55" s="2"/>
      <c r="E55" s="2"/>
      <c r="F55" s="2"/>
      <c r="G55" s="2"/>
      <c r="H55" s="55"/>
      <c r="I55" s="8"/>
      <c r="J55" s="6"/>
      <c r="K55" s="5"/>
    </row>
    <row r="56" spans="1:11">
      <c r="A56" s="210"/>
      <c r="B56" s="49"/>
      <c r="C56" s="6"/>
      <c r="D56" s="2"/>
      <c r="E56" s="2"/>
      <c r="F56" s="2"/>
      <c r="G56" s="8"/>
      <c r="H56" s="17"/>
      <c r="I56" s="5"/>
    </row>
    <row r="57" spans="1:11">
      <c r="A57" s="210"/>
      <c r="B57" s="6"/>
      <c r="C57" s="6"/>
      <c r="D57" s="2"/>
      <c r="E57" s="2"/>
      <c r="F57" s="2"/>
      <c r="G57" s="8"/>
      <c r="H57" s="17"/>
      <c r="I57" s="5"/>
    </row>
    <row r="58" spans="1:11">
      <c r="A58" s="1"/>
      <c r="B58" s="2"/>
      <c r="C58" s="8"/>
      <c r="D58" s="6"/>
      <c r="E58" s="6"/>
      <c r="F58" s="2"/>
      <c r="G58" s="2"/>
      <c r="H58" s="55"/>
      <c r="I58" s="8"/>
      <c r="J58" s="6"/>
      <c r="K58" s="5"/>
    </row>
    <row r="59" spans="1:11">
      <c r="A59" s="1"/>
      <c r="B59" s="2"/>
      <c r="C59" s="2"/>
      <c r="D59" s="2"/>
      <c r="E59" s="2"/>
      <c r="F59" s="2"/>
      <c r="G59" s="2"/>
      <c r="H59" s="211"/>
      <c r="I59" s="8"/>
      <c r="J59" s="8"/>
      <c r="K59" s="5"/>
    </row>
    <row r="60" spans="1:11">
      <c r="A60" s="248" t="s">
        <v>58</v>
      </c>
      <c r="B60" s="249"/>
      <c r="C60" s="259" t="s">
        <v>57</v>
      </c>
      <c r="D60" s="260"/>
      <c r="E60" s="249"/>
      <c r="F60" s="125" t="s">
        <v>56</v>
      </c>
      <c r="G60" s="126" t="s">
        <v>39</v>
      </c>
      <c r="H60" s="212" t="s">
        <v>55</v>
      </c>
      <c r="I60" s="8"/>
      <c r="J60" s="8"/>
      <c r="K60" s="5"/>
    </row>
    <row r="61" spans="1:11">
      <c r="A61" s="257" t="s">
        <v>40</v>
      </c>
      <c r="B61" s="258"/>
      <c r="C61" s="254" t="s">
        <v>78</v>
      </c>
      <c r="D61" s="255"/>
      <c r="E61" s="256"/>
      <c r="F61" s="162" t="s">
        <v>11</v>
      </c>
      <c r="G61" s="101" t="s">
        <v>41</v>
      </c>
      <c r="H61" s="213">
        <v>1</v>
      </c>
      <c r="I61" s="195" t="s">
        <v>82</v>
      </c>
      <c r="J61" s="97"/>
      <c r="K61" s="5"/>
    </row>
    <row r="62" spans="1:11" ht="18.75">
      <c r="A62" s="244" t="s">
        <v>231</v>
      </c>
      <c r="B62" s="245"/>
      <c r="C62" s="246" t="s">
        <v>79</v>
      </c>
      <c r="D62" s="247"/>
      <c r="E62" s="245"/>
      <c r="F62" s="163" t="s">
        <v>116</v>
      </c>
      <c r="G62" s="37" t="s">
        <v>41</v>
      </c>
      <c r="H62" s="214">
        <v>4</v>
      </c>
      <c r="I62" s="195" t="s">
        <v>82</v>
      </c>
      <c r="J62" s="97"/>
      <c r="K62" s="5"/>
    </row>
    <row r="63" spans="1:11">
      <c r="A63" s="244"/>
      <c r="B63" s="245"/>
      <c r="C63" s="252"/>
      <c r="D63" s="253"/>
      <c r="E63" s="251"/>
      <c r="F63" s="164" t="s">
        <v>9</v>
      </c>
      <c r="G63" s="37" t="s">
        <v>41</v>
      </c>
      <c r="H63" s="215">
        <f>SQRT(235/B8)</f>
        <v>0.81940745141142779</v>
      </c>
      <c r="I63" s="195" t="s">
        <v>70</v>
      </c>
      <c r="J63" s="97"/>
      <c r="K63" s="5"/>
    </row>
    <row r="64" spans="1:11">
      <c r="A64" s="244"/>
      <c r="B64" s="245"/>
      <c r="C64" s="252"/>
      <c r="D64" s="253"/>
      <c r="E64" s="251"/>
      <c r="F64" s="2"/>
      <c r="G64" s="70" t="s">
        <v>3</v>
      </c>
      <c r="H64" s="215">
        <f>B25</f>
        <v>96.94974746830583</v>
      </c>
      <c r="I64" s="195"/>
      <c r="J64" s="97"/>
      <c r="K64" s="5"/>
    </row>
    <row r="65" spans="1:17">
      <c r="A65" s="244"/>
      <c r="B65" s="245"/>
      <c r="C65" s="246" t="s">
        <v>80</v>
      </c>
      <c r="D65" s="247"/>
      <c r="E65" s="245"/>
      <c r="F65" s="2"/>
      <c r="G65" s="37" t="s">
        <v>41</v>
      </c>
      <c r="H65" s="216">
        <f>(H64/G8)/(28.4*H63*SQRT(H62))</f>
        <v>2.0830439706918717</v>
      </c>
      <c r="I65" s="195" t="s">
        <v>70</v>
      </c>
      <c r="J65" s="97"/>
      <c r="K65" s="5"/>
    </row>
    <row r="66" spans="1:17">
      <c r="A66" s="244"/>
      <c r="B66" s="245"/>
      <c r="C66" s="246" t="s">
        <v>42</v>
      </c>
      <c r="D66" s="247"/>
      <c r="E66" s="245"/>
      <c r="F66" s="164" t="s">
        <v>10</v>
      </c>
      <c r="G66" s="37" t="s">
        <v>41</v>
      </c>
      <c r="H66" s="216">
        <f>IF(H65&gt;0.673,(H65-0.055*(3+H61))/POWER(H65,2),1)</f>
        <v>0.4293645949547058</v>
      </c>
      <c r="I66" s="195" t="s">
        <v>70</v>
      </c>
      <c r="J66" s="97"/>
      <c r="K66" s="5"/>
    </row>
    <row r="67" spans="1:17">
      <c r="A67" s="250"/>
      <c r="B67" s="251"/>
      <c r="C67" s="246" t="s">
        <v>42</v>
      </c>
      <c r="D67" s="247"/>
      <c r="E67" s="245"/>
      <c r="F67" s="164" t="s">
        <v>10</v>
      </c>
      <c r="G67" s="37" t="s">
        <v>41</v>
      </c>
      <c r="H67" s="216">
        <f>IF(H66&gt;1,1,H66)</f>
        <v>0.4293645949547058</v>
      </c>
      <c r="I67" s="195" t="s">
        <v>70</v>
      </c>
      <c r="J67" s="97"/>
      <c r="K67" s="5"/>
    </row>
    <row r="68" spans="1:17" ht="18.75">
      <c r="A68" s="244"/>
      <c r="B68" s="245"/>
      <c r="C68" s="246" t="s">
        <v>43</v>
      </c>
      <c r="D68" s="247"/>
      <c r="E68" s="245"/>
      <c r="F68" s="164" t="s">
        <v>25</v>
      </c>
      <c r="G68" s="70" t="s">
        <v>3</v>
      </c>
      <c r="H68" s="215">
        <f>H67*$H64</f>
        <v>41.62678905269015</v>
      </c>
      <c r="I68" s="195" t="s">
        <v>82</v>
      </c>
      <c r="J68" s="97"/>
      <c r="K68" s="5"/>
    </row>
    <row r="69" spans="1:17" ht="18.75">
      <c r="A69" s="244"/>
      <c r="B69" s="245"/>
      <c r="C69" s="246"/>
      <c r="D69" s="247"/>
      <c r="E69" s="245"/>
      <c r="F69" s="164" t="s">
        <v>117</v>
      </c>
      <c r="G69" s="70" t="s">
        <v>3</v>
      </c>
      <c r="H69" s="215">
        <f>0.5*H68</f>
        <v>20.813394526345075</v>
      </c>
      <c r="I69" s="195" t="s">
        <v>82</v>
      </c>
      <c r="J69" s="8"/>
      <c r="K69" s="5"/>
    </row>
    <row r="70" spans="1:17" ht="18.75">
      <c r="A70" s="244"/>
      <c r="B70" s="245"/>
      <c r="C70" s="246"/>
      <c r="D70" s="247"/>
      <c r="E70" s="245"/>
      <c r="F70" s="164" t="s">
        <v>118</v>
      </c>
      <c r="G70" s="70" t="s">
        <v>3</v>
      </c>
      <c r="H70" s="215">
        <f t="shared" ref="H70:H72" si="0">H69</f>
        <v>20.813394526345075</v>
      </c>
      <c r="I70" s="195" t="s">
        <v>82</v>
      </c>
      <c r="J70" s="8"/>
      <c r="K70" s="5"/>
    </row>
    <row r="71" spans="1:17" ht="18.75">
      <c r="A71" s="244"/>
      <c r="B71" s="245"/>
      <c r="C71" s="246" t="s">
        <v>81</v>
      </c>
      <c r="D71" s="247"/>
      <c r="E71" s="245"/>
      <c r="F71" s="163" t="s">
        <v>130</v>
      </c>
      <c r="G71" s="70" t="s">
        <v>3</v>
      </c>
      <c r="H71" s="215">
        <f t="shared" si="0"/>
        <v>20.813394526345075</v>
      </c>
      <c r="I71" s="176"/>
      <c r="J71" s="2"/>
      <c r="K71" s="179" t="s">
        <v>245</v>
      </c>
    </row>
    <row r="72" spans="1:17" ht="18.75">
      <c r="A72" s="244"/>
      <c r="B72" s="245"/>
      <c r="C72" s="246" t="s">
        <v>81</v>
      </c>
      <c r="D72" s="247"/>
      <c r="E72" s="245"/>
      <c r="F72" s="163" t="s">
        <v>131</v>
      </c>
      <c r="G72" s="70" t="s">
        <v>3</v>
      </c>
      <c r="H72" s="215">
        <f t="shared" si="0"/>
        <v>20.813394526345075</v>
      </c>
      <c r="I72" s="176"/>
      <c r="J72" s="6"/>
      <c r="K72" s="179" t="s">
        <v>246</v>
      </c>
      <c r="L72" s="119"/>
      <c r="M72" s="119"/>
      <c r="N72" s="119"/>
      <c r="O72" s="119"/>
      <c r="P72" s="119"/>
      <c r="Q72" s="119"/>
    </row>
    <row r="73" spans="1:17" ht="18.75">
      <c r="A73" s="244"/>
      <c r="B73" s="245"/>
      <c r="C73" s="246" t="s">
        <v>81</v>
      </c>
      <c r="D73" s="247"/>
      <c r="E73" s="245"/>
      <c r="F73" s="163" t="s">
        <v>132</v>
      </c>
      <c r="G73" s="70" t="s">
        <v>3</v>
      </c>
      <c r="H73" s="215">
        <f>H71+$B14</f>
        <v>21.83852079219216</v>
      </c>
      <c r="I73" s="176"/>
      <c r="J73" s="6"/>
      <c r="K73" s="179" t="s">
        <v>247</v>
      </c>
      <c r="L73" s="119"/>
      <c r="M73" s="119"/>
      <c r="N73" s="119"/>
      <c r="O73" s="119"/>
      <c r="P73" s="119"/>
      <c r="Q73" s="119"/>
    </row>
    <row r="74" spans="1:17" ht="18.75">
      <c r="A74" s="244"/>
      <c r="B74" s="245"/>
      <c r="C74" s="246" t="s">
        <v>81</v>
      </c>
      <c r="D74" s="247"/>
      <c r="E74" s="245"/>
      <c r="F74" s="163" t="s">
        <v>133</v>
      </c>
      <c r="G74" s="70" t="s">
        <v>3</v>
      </c>
      <c r="H74" s="215">
        <f>H73</f>
        <v>21.83852079219216</v>
      </c>
      <c r="I74" s="176"/>
      <c r="J74" s="6"/>
      <c r="K74" s="179" t="s">
        <v>248</v>
      </c>
      <c r="L74" s="119"/>
      <c r="M74" s="119"/>
      <c r="N74" s="119"/>
      <c r="O74" s="119"/>
      <c r="P74" s="119"/>
      <c r="Q74" s="119"/>
    </row>
    <row r="75" spans="1:17" ht="18.75">
      <c r="A75" s="244"/>
      <c r="B75" s="245"/>
      <c r="C75" s="246" t="s">
        <v>81</v>
      </c>
      <c r="D75" s="247"/>
      <c r="E75" s="245"/>
      <c r="F75" s="163" t="s">
        <v>134</v>
      </c>
      <c r="G75" s="70" t="s">
        <v>3</v>
      </c>
      <c r="H75" s="215">
        <f>H73-$B13</f>
        <v>18.33852079219216</v>
      </c>
      <c r="I75" s="176"/>
      <c r="J75" s="6"/>
      <c r="K75" s="179" t="s">
        <v>249</v>
      </c>
      <c r="L75" s="119"/>
      <c r="M75" s="119"/>
      <c r="N75" s="119"/>
      <c r="O75" s="119"/>
      <c r="P75" s="119"/>
      <c r="Q75" s="119"/>
    </row>
    <row r="76" spans="1:17" ht="18.75">
      <c r="A76" s="261"/>
      <c r="B76" s="262"/>
      <c r="C76" s="263" t="s">
        <v>81</v>
      </c>
      <c r="D76" s="264"/>
      <c r="E76" s="262"/>
      <c r="F76" s="163" t="s">
        <v>135</v>
      </c>
      <c r="G76" s="70" t="s">
        <v>3</v>
      </c>
      <c r="H76" s="215">
        <f>H75</f>
        <v>18.33852079219216</v>
      </c>
      <c r="I76" s="176"/>
      <c r="J76" s="123"/>
      <c r="K76" s="179" t="s">
        <v>250</v>
      </c>
      <c r="L76" s="124"/>
      <c r="M76" s="118"/>
      <c r="N76" s="118"/>
      <c r="O76" s="118"/>
      <c r="P76" s="118"/>
      <c r="Q76" s="119"/>
    </row>
    <row r="77" spans="1:17">
      <c r="A77" s="257" t="s">
        <v>44</v>
      </c>
      <c r="B77" s="258"/>
      <c r="C77" s="254" t="s">
        <v>78</v>
      </c>
      <c r="D77" s="255"/>
      <c r="E77" s="256"/>
      <c r="F77" s="165" t="s">
        <v>11</v>
      </c>
      <c r="G77" s="101" t="s">
        <v>41</v>
      </c>
      <c r="H77" s="213">
        <v>1</v>
      </c>
      <c r="I77" s="195" t="s">
        <v>82</v>
      </c>
      <c r="J77" s="82"/>
      <c r="K77" s="92"/>
      <c r="L77" s="124"/>
      <c r="M77" s="118"/>
      <c r="N77" s="118"/>
      <c r="O77" s="118"/>
      <c r="P77" s="118"/>
      <c r="Q77" s="119"/>
    </row>
    <row r="78" spans="1:17" ht="18.75">
      <c r="A78" s="244" t="s">
        <v>232</v>
      </c>
      <c r="B78" s="245"/>
      <c r="C78" s="246" t="s">
        <v>79</v>
      </c>
      <c r="D78" s="247"/>
      <c r="E78" s="245"/>
      <c r="F78" s="163" t="s">
        <v>116</v>
      </c>
      <c r="G78" s="37" t="s">
        <v>41</v>
      </c>
      <c r="H78" s="214">
        <v>4</v>
      </c>
      <c r="I78" s="195" t="s">
        <v>82</v>
      </c>
      <c r="J78" s="123"/>
      <c r="K78" s="92"/>
      <c r="L78" s="124"/>
      <c r="M78" s="118"/>
      <c r="N78" s="119"/>
      <c r="O78" s="119"/>
      <c r="P78" s="119"/>
      <c r="Q78" s="119"/>
    </row>
    <row r="79" spans="1:17">
      <c r="A79" s="250"/>
      <c r="B79" s="251"/>
      <c r="C79" s="252"/>
      <c r="D79" s="253"/>
      <c r="E79" s="251"/>
      <c r="F79" s="163" t="s">
        <v>9</v>
      </c>
      <c r="G79" s="37" t="s">
        <v>41</v>
      </c>
      <c r="H79" s="215">
        <f>SQRT(235/B8)</f>
        <v>0.81940745141142779</v>
      </c>
      <c r="I79" s="195" t="s">
        <v>70</v>
      </c>
      <c r="J79" s="82"/>
      <c r="K79" s="92"/>
      <c r="L79" s="124"/>
      <c r="M79" s="118"/>
      <c r="N79" s="119"/>
      <c r="O79" s="119"/>
      <c r="P79" s="119"/>
      <c r="Q79" s="119"/>
    </row>
    <row r="80" spans="1:17">
      <c r="A80" s="250"/>
      <c r="B80" s="251"/>
      <c r="C80" s="252"/>
      <c r="D80" s="253"/>
      <c r="E80" s="251"/>
      <c r="F80" s="2"/>
      <c r="G80" s="70" t="s">
        <v>3</v>
      </c>
      <c r="H80" s="215">
        <f>D25</f>
        <v>46.94974746830583</v>
      </c>
      <c r="I80" s="98"/>
      <c r="J80" s="82"/>
      <c r="K80" s="92"/>
      <c r="L80" s="92"/>
      <c r="M80" s="118"/>
      <c r="N80" s="118"/>
      <c r="O80" s="118"/>
      <c r="P80" s="118"/>
      <c r="Q80" s="119"/>
    </row>
    <row r="81" spans="1:17">
      <c r="A81" s="250"/>
      <c r="B81" s="251"/>
      <c r="C81" s="246" t="s">
        <v>80</v>
      </c>
      <c r="D81" s="247"/>
      <c r="E81" s="245"/>
      <c r="F81" s="2"/>
      <c r="G81" s="37" t="s">
        <v>41</v>
      </c>
      <c r="H81" s="216">
        <f>(H80/G8)/(28.4*H79*SQRT(H78))</f>
        <v>1.0087534103307698</v>
      </c>
      <c r="I81" s="195" t="s">
        <v>70</v>
      </c>
      <c r="J81" s="82"/>
      <c r="K81" s="92"/>
      <c r="L81" s="92"/>
      <c r="M81" s="118"/>
      <c r="N81" s="118"/>
      <c r="O81" s="118"/>
      <c r="P81" s="118"/>
      <c r="Q81" s="119"/>
    </row>
    <row r="82" spans="1:17">
      <c r="A82" s="250"/>
      <c r="B82" s="251"/>
      <c r="C82" s="246" t="s">
        <v>42</v>
      </c>
      <c r="D82" s="247"/>
      <c r="E82" s="245"/>
      <c r="F82" s="163" t="s">
        <v>10</v>
      </c>
      <c r="G82" s="37" t="s">
        <v>41</v>
      </c>
      <c r="H82" s="216">
        <f>IF(H81&gt;0.673,(H81-0.055*(3+H77))/POWER(H81,2),1)</f>
        <v>0.77512406070464146</v>
      </c>
      <c r="I82" s="195" t="s">
        <v>70</v>
      </c>
      <c r="J82" s="123"/>
      <c r="K82" s="92"/>
      <c r="L82" s="124"/>
      <c r="M82" s="118"/>
      <c r="N82" s="119"/>
      <c r="O82" s="119"/>
      <c r="P82" s="119"/>
      <c r="Q82" s="119"/>
    </row>
    <row r="83" spans="1:17">
      <c r="A83" s="250"/>
      <c r="B83" s="251"/>
      <c r="C83" s="246" t="s">
        <v>42</v>
      </c>
      <c r="D83" s="247"/>
      <c r="E83" s="245"/>
      <c r="F83" s="163" t="s">
        <v>229</v>
      </c>
      <c r="G83" s="37" t="s">
        <v>41</v>
      </c>
      <c r="H83" s="216">
        <f>IF(H82&gt;1,1,H82)</f>
        <v>0.77512406070464146</v>
      </c>
      <c r="I83" s="195" t="s">
        <v>70</v>
      </c>
      <c r="J83" s="123"/>
      <c r="K83" s="92"/>
      <c r="L83" s="124"/>
      <c r="M83" s="118"/>
      <c r="N83" s="119"/>
      <c r="O83" s="119"/>
      <c r="P83" s="119"/>
      <c r="Q83" s="119"/>
    </row>
    <row r="84" spans="1:17" ht="18.75">
      <c r="A84" s="250"/>
      <c r="B84" s="251"/>
      <c r="C84" s="246" t="s">
        <v>43</v>
      </c>
      <c r="D84" s="247"/>
      <c r="E84" s="245"/>
      <c r="F84" s="163" t="s">
        <v>25</v>
      </c>
      <c r="G84" s="70" t="s">
        <v>3</v>
      </c>
      <c r="H84" s="215">
        <f>H83*$H80</f>
        <v>36.391878906690678</v>
      </c>
      <c r="I84" s="195" t="s">
        <v>82</v>
      </c>
      <c r="J84" s="82"/>
      <c r="K84" s="92"/>
      <c r="L84" s="124"/>
      <c r="M84" s="118"/>
      <c r="N84" s="119"/>
      <c r="O84" s="119"/>
      <c r="P84" s="119"/>
      <c r="Q84" s="119"/>
    </row>
    <row r="85" spans="1:17" ht="18.75">
      <c r="A85" s="250"/>
      <c r="B85" s="251"/>
      <c r="C85" s="252"/>
      <c r="D85" s="253"/>
      <c r="E85" s="251"/>
      <c r="F85" s="163" t="s">
        <v>117</v>
      </c>
      <c r="G85" s="70" t="s">
        <v>3</v>
      </c>
      <c r="H85" s="215">
        <f>0.5*H84</f>
        <v>18.195939453345339</v>
      </c>
      <c r="I85" s="195" t="s">
        <v>82</v>
      </c>
      <c r="J85" s="82"/>
      <c r="K85" s="92"/>
      <c r="L85" s="92"/>
      <c r="M85" s="118"/>
      <c r="N85" s="118"/>
      <c r="O85" s="118"/>
      <c r="P85" s="118"/>
      <c r="Q85" s="119"/>
    </row>
    <row r="86" spans="1:17" ht="18.75">
      <c r="A86" s="250"/>
      <c r="B86" s="251"/>
      <c r="C86" s="252"/>
      <c r="D86" s="253"/>
      <c r="E86" s="251"/>
      <c r="F86" s="163" t="s">
        <v>118</v>
      </c>
      <c r="G86" s="70" t="s">
        <v>3</v>
      </c>
      <c r="H86" s="215">
        <f>H85</f>
        <v>18.195939453345339</v>
      </c>
      <c r="I86" s="195" t="s">
        <v>82</v>
      </c>
      <c r="J86" s="123"/>
      <c r="K86" s="92"/>
      <c r="L86" s="92"/>
      <c r="M86" s="119"/>
      <c r="N86" s="119"/>
      <c r="O86" s="118"/>
      <c r="P86" s="118"/>
      <c r="Q86" s="119"/>
    </row>
    <row r="87" spans="1:17" ht="18.75">
      <c r="A87" s="250"/>
      <c r="B87" s="251"/>
      <c r="C87" s="246" t="s">
        <v>81</v>
      </c>
      <c r="D87" s="247"/>
      <c r="E87" s="245"/>
      <c r="F87" s="163" t="s">
        <v>136</v>
      </c>
      <c r="G87" s="70" t="s">
        <v>3</v>
      </c>
      <c r="H87" s="215">
        <f>H85</f>
        <v>18.195939453345339</v>
      </c>
      <c r="I87" s="108"/>
      <c r="J87" s="123"/>
      <c r="K87" s="179" t="s">
        <v>213</v>
      </c>
      <c r="L87" s="6"/>
      <c r="M87" s="119"/>
      <c r="N87" s="119"/>
      <c r="O87" s="49"/>
      <c r="P87" s="49"/>
      <c r="Q87" s="119"/>
    </row>
    <row r="88" spans="1:17" ht="18.75">
      <c r="A88" s="250"/>
      <c r="B88" s="251"/>
      <c r="C88" s="246" t="s">
        <v>81</v>
      </c>
      <c r="D88" s="247"/>
      <c r="E88" s="245"/>
      <c r="F88" s="163" t="s">
        <v>137</v>
      </c>
      <c r="G88" s="70" t="s">
        <v>3</v>
      </c>
      <c r="H88" s="215">
        <f>H86</f>
        <v>18.195939453345339</v>
      </c>
      <c r="I88" s="98"/>
      <c r="J88" s="82"/>
      <c r="K88" s="179" t="s">
        <v>214</v>
      </c>
      <c r="L88" s="92"/>
      <c r="M88" s="119"/>
      <c r="N88" s="119"/>
      <c r="O88" s="118"/>
      <c r="P88" s="118"/>
      <c r="Q88" s="119"/>
    </row>
    <row r="89" spans="1:17" ht="18.75">
      <c r="A89" s="250"/>
      <c r="B89" s="251"/>
      <c r="C89" s="246" t="s">
        <v>81</v>
      </c>
      <c r="D89" s="247"/>
      <c r="E89" s="245"/>
      <c r="F89" s="163" t="s">
        <v>138</v>
      </c>
      <c r="G89" s="70" t="s">
        <v>3</v>
      </c>
      <c r="H89" s="215">
        <f>H87+$B14</f>
        <v>19.221065719192424</v>
      </c>
      <c r="I89" s="98"/>
      <c r="J89" s="82"/>
      <c r="K89" s="179" t="s">
        <v>215</v>
      </c>
      <c r="L89" s="92"/>
      <c r="M89" s="119"/>
      <c r="N89" s="119"/>
      <c r="O89" s="118"/>
      <c r="P89" s="118"/>
      <c r="Q89" s="119"/>
    </row>
    <row r="90" spans="1:17" ht="18.75">
      <c r="A90" s="250"/>
      <c r="B90" s="251"/>
      <c r="C90" s="246" t="s">
        <v>81</v>
      </c>
      <c r="D90" s="247"/>
      <c r="E90" s="245"/>
      <c r="F90" s="163" t="s">
        <v>139</v>
      </c>
      <c r="G90" s="70" t="s">
        <v>3</v>
      </c>
      <c r="H90" s="215">
        <f>H89</f>
        <v>19.221065719192424</v>
      </c>
      <c r="I90" s="98"/>
      <c r="J90" s="82"/>
      <c r="K90" s="179" t="s">
        <v>216</v>
      </c>
      <c r="L90" s="92"/>
      <c r="M90" s="119"/>
      <c r="N90" s="119"/>
      <c r="O90" s="118"/>
      <c r="P90" s="118"/>
      <c r="Q90" s="119"/>
    </row>
    <row r="91" spans="1:17" ht="18.75">
      <c r="A91" s="250"/>
      <c r="B91" s="251"/>
      <c r="C91" s="246" t="s">
        <v>81</v>
      </c>
      <c r="D91" s="247"/>
      <c r="E91" s="245"/>
      <c r="F91" s="163" t="s">
        <v>140</v>
      </c>
      <c r="G91" s="70" t="s">
        <v>3</v>
      </c>
      <c r="H91" s="215">
        <f>H89-$B13</f>
        <v>15.721065719192424</v>
      </c>
      <c r="I91" s="98"/>
      <c r="J91" s="82"/>
      <c r="K91" s="179" t="s">
        <v>217</v>
      </c>
      <c r="L91" s="92"/>
      <c r="M91" s="119"/>
      <c r="N91" s="119"/>
      <c r="O91" s="118"/>
      <c r="P91" s="118"/>
      <c r="Q91" s="119"/>
    </row>
    <row r="92" spans="1:17" ht="18.75">
      <c r="A92" s="265"/>
      <c r="B92" s="266"/>
      <c r="C92" s="263" t="s">
        <v>81</v>
      </c>
      <c r="D92" s="264"/>
      <c r="E92" s="262"/>
      <c r="F92" s="163" t="s">
        <v>141</v>
      </c>
      <c r="G92" s="70" t="s">
        <v>3</v>
      </c>
      <c r="H92" s="215">
        <f>H91</f>
        <v>15.721065719192424</v>
      </c>
      <c r="I92" s="98"/>
      <c r="J92" s="82"/>
      <c r="K92" s="179" t="s">
        <v>218</v>
      </c>
      <c r="L92" s="124"/>
      <c r="M92" s="119"/>
      <c r="N92" s="119"/>
      <c r="O92" s="49"/>
      <c r="P92" s="49"/>
      <c r="Q92" s="119"/>
    </row>
    <row r="93" spans="1:17" ht="18.75">
      <c r="A93" s="257" t="s">
        <v>45</v>
      </c>
      <c r="B93" s="258"/>
      <c r="C93" s="267"/>
      <c r="D93" s="268"/>
      <c r="E93" s="269"/>
      <c r="F93" s="167" t="s">
        <v>112</v>
      </c>
      <c r="G93" s="122" t="s">
        <v>3</v>
      </c>
      <c r="H93" s="217">
        <f>F25</f>
        <v>18.474873734152915</v>
      </c>
      <c r="I93" s="98"/>
      <c r="J93" s="82"/>
      <c r="K93" s="198"/>
      <c r="L93" s="92"/>
      <c r="M93" s="119"/>
      <c r="N93" s="119"/>
      <c r="O93" s="118"/>
      <c r="P93" s="118"/>
      <c r="Q93" s="119"/>
    </row>
    <row r="94" spans="1:17" ht="18.75">
      <c r="A94" s="244" t="s">
        <v>233</v>
      </c>
      <c r="B94" s="245"/>
      <c r="C94" s="252"/>
      <c r="D94" s="253"/>
      <c r="E94" s="251"/>
      <c r="F94" s="163" t="s">
        <v>109</v>
      </c>
      <c r="G94" s="71" t="s">
        <v>3</v>
      </c>
      <c r="H94" s="67">
        <f>D25</f>
        <v>46.94974746830583</v>
      </c>
      <c r="I94" s="98"/>
      <c r="J94" s="82"/>
      <c r="K94" s="198"/>
      <c r="L94" s="92"/>
      <c r="M94" s="119"/>
      <c r="N94" s="119"/>
      <c r="O94" s="118"/>
      <c r="P94" s="118"/>
      <c r="Q94" s="119"/>
    </row>
    <row r="95" spans="1:17" ht="18.75">
      <c r="A95" s="250"/>
      <c r="B95" s="251"/>
      <c r="C95" s="252"/>
      <c r="D95" s="253"/>
      <c r="E95" s="251"/>
      <c r="F95" s="164" t="s">
        <v>142</v>
      </c>
      <c r="G95" s="37" t="s">
        <v>41</v>
      </c>
      <c r="H95" s="218">
        <f>H93/H94</f>
        <v>0.39350315455103718</v>
      </c>
      <c r="I95" s="98"/>
      <c r="J95" s="82"/>
      <c r="K95" s="151" t="s">
        <v>219</v>
      </c>
      <c r="L95" s="6"/>
      <c r="M95" s="119"/>
      <c r="N95" s="119"/>
      <c r="O95" s="49"/>
      <c r="P95" s="49"/>
      <c r="Q95" s="119"/>
    </row>
    <row r="96" spans="1:17" ht="18.75">
      <c r="A96" s="250"/>
      <c r="B96" s="251"/>
      <c r="C96" s="246" t="s">
        <v>79</v>
      </c>
      <c r="D96" s="247"/>
      <c r="E96" s="245"/>
      <c r="F96" s="163" t="s">
        <v>116</v>
      </c>
      <c r="G96" s="37" t="s">
        <v>41</v>
      </c>
      <c r="H96" s="219">
        <f>IF(H95&gt;0.35,IF(H95&lt;=0.6,0.5+0.83*POWER(POWER((H95-0.35),2),(1/3)),"Error"),0.5)</f>
        <v>0.60266567317473596</v>
      </c>
      <c r="I96" s="195" t="s">
        <v>71</v>
      </c>
      <c r="J96" s="82"/>
      <c r="K96" s="198"/>
      <c r="L96" s="124"/>
      <c r="M96" s="119"/>
      <c r="N96" s="119"/>
      <c r="O96" s="119"/>
      <c r="P96" s="119"/>
      <c r="Q96" s="119"/>
    </row>
    <row r="97" spans="1:17">
      <c r="A97" s="250"/>
      <c r="B97" s="251"/>
      <c r="C97" s="252"/>
      <c r="D97" s="253"/>
      <c r="E97" s="251"/>
      <c r="F97" s="163" t="s">
        <v>9</v>
      </c>
      <c r="G97" s="37" t="s">
        <v>41</v>
      </c>
      <c r="H97" s="218">
        <f>SQRT(235/B8)</f>
        <v>0.81940745141142779</v>
      </c>
      <c r="I97" s="195" t="s">
        <v>70</v>
      </c>
      <c r="J97" s="82"/>
      <c r="K97" s="198"/>
      <c r="L97" s="92"/>
      <c r="M97" s="119"/>
      <c r="N97" s="119"/>
      <c r="O97" s="118"/>
      <c r="P97" s="118"/>
      <c r="Q97" s="119"/>
    </row>
    <row r="98" spans="1:17">
      <c r="A98" s="250"/>
      <c r="B98" s="251"/>
      <c r="C98" s="252"/>
      <c r="D98" s="253"/>
      <c r="E98" s="251"/>
      <c r="G98" s="71" t="s">
        <v>3</v>
      </c>
      <c r="H98" s="67">
        <f>F25</f>
        <v>18.474873734152915</v>
      </c>
      <c r="I98" s="196"/>
      <c r="J98" s="119"/>
      <c r="K98" s="198"/>
      <c r="L98" s="92"/>
      <c r="M98" s="119"/>
      <c r="N98" s="119"/>
      <c r="O98" s="118"/>
      <c r="P98" s="118"/>
      <c r="Q98" s="119"/>
    </row>
    <row r="99" spans="1:17">
      <c r="A99" s="250"/>
      <c r="B99" s="251"/>
      <c r="C99" s="246" t="s">
        <v>80</v>
      </c>
      <c r="D99" s="247"/>
      <c r="E99" s="245"/>
      <c r="G99" s="37" t="s">
        <v>41</v>
      </c>
      <c r="H99" s="216">
        <f>(H98/G8)/(28.4*H97*SQRT(H96))</f>
        <v>1.0226452421842067</v>
      </c>
      <c r="I99" s="195" t="s">
        <v>70</v>
      </c>
      <c r="J99" s="119"/>
      <c r="K99" s="198"/>
      <c r="L99" s="92"/>
      <c r="M99" s="119"/>
      <c r="N99" s="119"/>
      <c r="O99" s="118"/>
      <c r="P99" s="118"/>
      <c r="Q99" s="119"/>
    </row>
    <row r="100" spans="1:17">
      <c r="A100" s="250"/>
      <c r="B100" s="251"/>
      <c r="C100" s="246" t="s">
        <v>42</v>
      </c>
      <c r="D100" s="247"/>
      <c r="E100" s="245"/>
      <c r="F100" s="163" t="s">
        <v>10</v>
      </c>
      <c r="G100" s="37" t="s">
        <v>41</v>
      </c>
      <c r="H100" s="218">
        <f>IF(H99&gt;0.748,(H99-0.188)/POWER(H99,2),1)</f>
        <v>0.79809008929127789</v>
      </c>
      <c r="I100" s="195" t="s">
        <v>70</v>
      </c>
      <c r="J100" s="82"/>
      <c r="K100" s="150"/>
      <c r="L100" s="119"/>
      <c r="M100" s="119"/>
      <c r="N100" s="118"/>
      <c r="O100" s="118"/>
      <c r="P100" s="118"/>
      <c r="Q100" s="119"/>
    </row>
    <row r="101" spans="1:17">
      <c r="A101" s="250"/>
      <c r="B101" s="251"/>
      <c r="C101" s="246" t="s">
        <v>42</v>
      </c>
      <c r="D101" s="247"/>
      <c r="E101" s="245"/>
      <c r="F101" s="163" t="s">
        <v>229</v>
      </c>
      <c r="G101" s="37" t="s">
        <v>41</v>
      </c>
      <c r="H101" s="218">
        <f>IF(H100&gt;1,1,H100)</f>
        <v>0.79809008929127789</v>
      </c>
      <c r="I101" s="195" t="s">
        <v>70</v>
      </c>
      <c r="J101" s="82"/>
      <c r="K101" s="150"/>
      <c r="L101" s="119"/>
      <c r="M101" s="119"/>
      <c r="N101" s="118"/>
      <c r="O101" s="118"/>
      <c r="P101" s="118"/>
      <c r="Q101" s="119"/>
    </row>
    <row r="102" spans="1:17" ht="18.75">
      <c r="A102" s="250"/>
      <c r="B102" s="251"/>
      <c r="C102" s="246" t="s">
        <v>81</v>
      </c>
      <c r="D102" s="247"/>
      <c r="E102" s="245"/>
      <c r="F102" s="163" t="s">
        <v>17</v>
      </c>
      <c r="G102" s="71" t="s">
        <v>3</v>
      </c>
      <c r="H102" s="67">
        <f>H101*$H93</f>
        <v>14.744613628135184</v>
      </c>
      <c r="I102" s="195" t="s">
        <v>83</v>
      </c>
      <c r="J102" s="8"/>
      <c r="K102" s="179"/>
    </row>
    <row r="103" spans="1:17" ht="18.75">
      <c r="A103" s="250"/>
      <c r="B103" s="251"/>
      <c r="C103" s="246" t="s">
        <v>81</v>
      </c>
      <c r="D103" s="247"/>
      <c r="E103" s="245"/>
      <c r="F103" s="163" t="s">
        <v>143</v>
      </c>
      <c r="G103" s="71" t="s">
        <v>3</v>
      </c>
      <c r="H103" s="67">
        <f>H102+$B14</f>
        <v>15.769739893982267</v>
      </c>
      <c r="I103" s="8"/>
      <c r="J103" s="8"/>
      <c r="K103" s="179" t="s">
        <v>220</v>
      </c>
    </row>
    <row r="104" spans="1:17" ht="18.75">
      <c r="A104" s="265"/>
      <c r="B104" s="266"/>
      <c r="C104" s="263" t="s">
        <v>81</v>
      </c>
      <c r="D104" s="264"/>
      <c r="E104" s="262"/>
      <c r="F104" s="163" t="s">
        <v>144</v>
      </c>
      <c r="G104" s="71" t="s">
        <v>3</v>
      </c>
      <c r="H104" s="67">
        <f>H103-$B13</f>
        <v>12.269739893982267</v>
      </c>
      <c r="I104" s="8"/>
      <c r="J104" s="8"/>
      <c r="K104" s="179" t="s">
        <v>221</v>
      </c>
    </row>
    <row r="105" spans="1:17" ht="18.75">
      <c r="A105" s="257" t="s">
        <v>31</v>
      </c>
      <c r="B105" s="258"/>
      <c r="C105" s="254" t="s">
        <v>47</v>
      </c>
      <c r="D105" s="255"/>
      <c r="E105" s="256"/>
      <c r="F105" s="162" t="s">
        <v>119</v>
      </c>
      <c r="G105" s="121" t="s">
        <v>3</v>
      </c>
      <c r="H105" s="220">
        <f>((($B15*($B13-$B16))+(H104*((0.5*H104)+$B13)))*$G8)/H112</f>
        <v>3.738654760346535</v>
      </c>
      <c r="I105" s="8"/>
      <c r="J105" s="8"/>
      <c r="K105" s="179" t="s">
        <v>242</v>
      </c>
    </row>
    <row r="106" spans="1:17" ht="18.75">
      <c r="A106" s="244"/>
      <c r="B106" s="245"/>
      <c r="C106" s="246" t="s">
        <v>47</v>
      </c>
      <c r="D106" s="247"/>
      <c r="E106" s="245"/>
      <c r="F106" s="166" t="s">
        <v>120</v>
      </c>
      <c r="G106" s="70" t="s">
        <v>3</v>
      </c>
      <c r="H106" s="221">
        <f>((($B15*($B13-$B16))+(H92*((0.5*H92)+$B13)))*$G8)/H112</f>
        <v>5.5417265097942785</v>
      </c>
      <c r="I106" s="8"/>
      <c r="J106" s="8"/>
      <c r="K106" s="179" t="s">
        <v>243</v>
      </c>
      <c r="L106" s="2"/>
    </row>
    <row r="107" spans="1:17" ht="18.75">
      <c r="A107" s="244"/>
      <c r="B107" s="245"/>
      <c r="C107" s="246" t="s">
        <v>47</v>
      </c>
      <c r="D107" s="247"/>
      <c r="E107" s="245"/>
      <c r="F107" s="166" t="s">
        <v>121</v>
      </c>
      <c r="G107" s="70" t="s">
        <v>3</v>
      </c>
      <c r="H107" s="221">
        <f>$D25+(2*$B14)-H106</f>
        <v>43.45827349020572</v>
      </c>
      <c r="I107" s="8"/>
      <c r="J107" s="8"/>
      <c r="K107" s="179" t="s">
        <v>222</v>
      </c>
      <c r="L107" s="2"/>
    </row>
    <row r="108" spans="1:17" ht="18.75">
      <c r="A108" s="244"/>
      <c r="B108" s="245"/>
      <c r="C108" s="246" t="s">
        <v>47</v>
      </c>
      <c r="D108" s="247"/>
      <c r="E108" s="245"/>
      <c r="F108" s="166" t="s">
        <v>122</v>
      </c>
      <c r="G108" s="70" t="s">
        <v>3</v>
      </c>
      <c r="H108" s="221">
        <f>H107</f>
        <v>43.45827349020572</v>
      </c>
      <c r="I108" s="8"/>
      <c r="J108" s="8"/>
      <c r="K108" s="179" t="s">
        <v>223</v>
      </c>
      <c r="L108" s="2"/>
    </row>
    <row r="109" spans="1:17" ht="18.75">
      <c r="A109" s="250"/>
      <c r="B109" s="251"/>
      <c r="C109" s="252"/>
      <c r="D109" s="253"/>
      <c r="E109" s="251"/>
      <c r="F109" s="166" t="s">
        <v>94</v>
      </c>
      <c r="G109" s="200" t="s">
        <v>41</v>
      </c>
      <c r="H109" s="221">
        <v>1</v>
      </c>
      <c r="I109" s="8"/>
      <c r="J109" s="8"/>
      <c r="K109" s="179"/>
      <c r="L109" s="2"/>
    </row>
    <row r="110" spans="1:17" ht="18.75">
      <c r="A110" s="244"/>
      <c r="B110" s="245"/>
      <c r="C110" s="246" t="s">
        <v>76</v>
      </c>
      <c r="D110" s="247"/>
      <c r="E110" s="245"/>
      <c r="F110" s="166" t="s">
        <v>123</v>
      </c>
      <c r="G110" s="37" t="s">
        <v>41</v>
      </c>
      <c r="H110" s="218">
        <f>(($B5*POWER($G8,3))/(4*(1-POWER($B7,2))))*(1/((POWER(H107,2)*B23)+POWER(H107,3)+(0.5*H107*H108*B23*H109)))</f>
        <v>0.15913515760082897</v>
      </c>
      <c r="I110" s="195" t="s">
        <v>84</v>
      </c>
      <c r="J110" s="8"/>
      <c r="K110" s="151"/>
      <c r="L110" s="2"/>
    </row>
    <row r="111" spans="1:17" ht="18.75">
      <c r="A111" s="244"/>
      <c r="B111" s="245"/>
      <c r="C111" s="246" t="s">
        <v>48</v>
      </c>
      <c r="D111" s="247"/>
      <c r="E111" s="245"/>
      <c r="F111" s="166" t="s">
        <v>124</v>
      </c>
      <c r="G111" s="133" t="s">
        <v>20</v>
      </c>
      <c r="H111" s="221">
        <f>(H92*$G8*POWER(H105,2))+$B17+($B15*$G8*POWER((H105-($B13-$B16)),2))+((1/12)*POWER(H104,3)*$G8)+(H104*$G8*POWER(($B13+(0.5*H104)-H105),2))</f>
        <v>840.11393971308951</v>
      </c>
      <c r="I111" s="8"/>
      <c r="J111" s="8"/>
      <c r="K111" s="179" t="s">
        <v>224</v>
      </c>
      <c r="L111" s="2"/>
      <c r="M111" s="2"/>
      <c r="N111" s="2"/>
      <c r="O111" s="2"/>
      <c r="P111" s="2"/>
    </row>
    <row r="112" spans="1:17" ht="18.75">
      <c r="A112" s="244"/>
      <c r="B112" s="245"/>
      <c r="C112" s="246" t="s">
        <v>46</v>
      </c>
      <c r="D112" s="247"/>
      <c r="E112" s="245"/>
      <c r="F112" s="166" t="s">
        <v>125</v>
      </c>
      <c r="G112" s="133" t="s">
        <v>65</v>
      </c>
      <c r="H112" s="221">
        <f>(H92+$B15+H104)*$G8</f>
        <v>33.488592756956827</v>
      </c>
      <c r="I112" s="8"/>
      <c r="J112" s="8"/>
      <c r="K112" s="179" t="s">
        <v>241</v>
      </c>
      <c r="L112" s="2"/>
      <c r="M112" s="2"/>
      <c r="N112" s="2"/>
      <c r="O112" s="2"/>
      <c r="P112" s="2"/>
    </row>
    <row r="113" spans="1:16" ht="18.75">
      <c r="A113" s="244"/>
      <c r="B113" s="245"/>
      <c r="C113" s="246" t="s">
        <v>49</v>
      </c>
      <c r="D113" s="247"/>
      <c r="E113" s="245"/>
      <c r="F113" s="166" t="s">
        <v>126</v>
      </c>
      <c r="G113" s="133" t="s">
        <v>66</v>
      </c>
      <c r="H113" s="221">
        <f>(2*SQRT(H110*$B5*H111))/H112</f>
        <v>316.44257478361988</v>
      </c>
      <c r="I113" s="195" t="s">
        <v>85</v>
      </c>
      <c r="J113" s="8"/>
      <c r="K113" s="199"/>
      <c r="L113" s="2"/>
      <c r="M113" s="98"/>
      <c r="N113" s="98"/>
      <c r="O113" s="2"/>
      <c r="P113" s="2"/>
    </row>
    <row r="114" spans="1:16" ht="18.75" customHeight="1">
      <c r="A114" s="244"/>
      <c r="B114" s="245"/>
      <c r="C114" s="246" t="s">
        <v>77</v>
      </c>
      <c r="D114" s="247"/>
      <c r="E114" s="245"/>
      <c r="G114" s="37" t="s">
        <v>41</v>
      </c>
      <c r="H114" s="218">
        <f>SQRT($B8/H113)</f>
        <v>1.0516871496485041</v>
      </c>
      <c r="I114" s="195" t="s">
        <v>86</v>
      </c>
      <c r="J114" s="8"/>
      <c r="K114" s="151"/>
      <c r="L114" s="2"/>
      <c r="M114" s="98"/>
      <c r="N114" s="98"/>
      <c r="O114" s="2"/>
      <c r="P114" s="2"/>
    </row>
    <row r="115" spans="1:16" ht="18.75">
      <c r="A115" s="271"/>
      <c r="B115" s="272"/>
      <c r="C115" s="246" t="s">
        <v>50</v>
      </c>
      <c r="D115" s="247"/>
      <c r="E115" s="245"/>
      <c r="F115" s="166" t="s">
        <v>145</v>
      </c>
      <c r="G115" s="37" t="s">
        <v>41</v>
      </c>
      <c r="H115" s="222">
        <f>IF(H114&gt;0.65,IF(H114&lt;1.38,1.47-0.723*H114,0.66/H114),1)</f>
        <v>0.70963019080413159</v>
      </c>
      <c r="I115" s="195" t="s">
        <v>86</v>
      </c>
      <c r="J115" s="8"/>
      <c r="K115" s="151"/>
      <c r="L115" s="2"/>
      <c r="M115" s="98"/>
      <c r="N115" s="98"/>
      <c r="O115" s="2"/>
      <c r="P115" s="2"/>
    </row>
    <row r="116" spans="1:16" ht="18.75">
      <c r="A116" s="271"/>
      <c r="B116" s="272"/>
      <c r="C116" s="246" t="s">
        <v>73</v>
      </c>
      <c r="D116" s="247"/>
      <c r="E116" s="245"/>
      <c r="F116" s="168" t="s">
        <v>19</v>
      </c>
      <c r="G116" s="133" t="s">
        <v>65</v>
      </c>
      <c r="H116" s="67">
        <f>H115*H112*(($B8/$B9)/$B8)</f>
        <v>23.764516467881133</v>
      </c>
      <c r="I116" s="195" t="s">
        <v>87</v>
      </c>
      <c r="J116" s="8"/>
      <c r="K116" s="179"/>
      <c r="L116" s="2"/>
      <c r="M116" s="98"/>
      <c r="N116" s="98"/>
      <c r="O116" s="2"/>
      <c r="P116" s="2"/>
    </row>
    <row r="117" spans="1:16" ht="18.75">
      <c r="A117" s="225"/>
      <c r="B117" s="278"/>
      <c r="C117" s="246" t="s">
        <v>73</v>
      </c>
      <c r="D117" s="247"/>
      <c r="E117" s="245"/>
      <c r="F117" s="168" t="s">
        <v>230</v>
      </c>
      <c r="G117" s="133" t="s">
        <v>65</v>
      </c>
      <c r="H117" s="67">
        <f>IF(H116&gt;H112,H112,H116)</f>
        <v>23.764516467881133</v>
      </c>
      <c r="I117" s="195" t="s">
        <v>87</v>
      </c>
      <c r="J117" s="8"/>
      <c r="K117" s="179"/>
      <c r="L117" s="2"/>
      <c r="M117" s="98"/>
      <c r="N117" s="98"/>
      <c r="O117" s="2"/>
      <c r="P117" s="2"/>
    </row>
    <row r="118" spans="1:16" ht="19.5" thickBot="1">
      <c r="A118" s="284"/>
      <c r="B118" s="285"/>
      <c r="C118" s="275" t="s">
        <v>51</v>
      </c>
      <c r="D118" s="276"/>
      <c r="E118" s="277"/>
      <c r="F118" s="169" t="s">
        <v>127</v>
      </c>
      <c r="G118" s="286"/>
      <c r="H118" s="287">
        <f>($G8*H117)/H112</f>
        <v>0.70963019080413159</v>
      </c>
      <c r="I118" s="195" t="s">
        <v>88</v>
      </c>
      <c r="J118" s="8"/>
      <c r="K118" s="179"/>
      <c r="L118" s="2"/>
      <c r="M118" s="98"/>
      <c r="N118" s="98"/>
      <c r="O118" s="2"/>
      <c r="P118" s="2"/>
    </row>
    <row r="119" spans="1:16" ht="15.75" thickBot="1">
      <c r="A119" s="208"/>
      <c r="B119" s="281"/>
      <c r="C119" s="206"/>
      <c r="D119" s="206"/>
      <c r="E119" s="206"/>
      <c r="F119" s="282"/>
      <c r="G119" s="281"/>
      <c r="H119" s="283"/>
      <c r="I119" s="195"/>
      <c r="J119" s="8"/>
      <c r="K119" s="179"/>
      <c r="L119" s="2"/>
      <c r="M119" s="98"/>
      <c r="N119" s="98"/>
      <c r="O119" s="2"/>
      <c r="P119" s="2"/>
    </row>
    <row r="120" spans="1:16" ht="15.75" thickBot="1">
      <c r="A120" s="288" t="s">
        <v>234</v>
      </c>
      <c r="B120" s="201"/>
      <c r="C120" s="202"/>
      <c r="D120" s="202"/>
      <c r="E120" s="202"/>
      <c r="F120" s="203"/>
      <c r="G120" s="201"/>
      <c r="H120" s="204"/>
      <c r="I120" s="195"/>
      <c r="J120" s="8"/>
      <c r="K120" s="179"/>
      <c r="L120" s="2"/>
      <c r="M120" s="98"/>
      <c r="N120" s="98"/>
      <c r="O120" s="2"/>
      <c r="P120" s="2"/>
    </row>
    <row r="121" spans="1:16" ht="18.75">
      <c r="A121" s="235" t="s">
        <v>59</v>
      </c>
      <c r="B121" s="270"/>
      <c r="C121" s="246" t="s">
        <v>46</v>
      </c>
      <c r="D121" s="247"/>
      <c r="E121" s="245"/>
      <c r="F121" s="166" t="s">
        <v>18</v>
      </c>
      <c r="G121" s="133" t="s">
        <v>65</v>
      </c>
      <c r="H121" s="72">
        <f>((H75+H76+(2*H91)+(2*$B15))*$G8)+(((2*H92)+(2*H104)+(2*$B15))*H118)</f>
        <v>126.64378024609572</v>
      </c>
      <c r="I121" s="196"/>
      <c r="J121" s="8"/>
      <c r="K121" s="179" t="s">
        <v>225</v>
      </c>
      <c r="L121" s="2"/>
      <c r="M121" s="98"/>
      <c r="N121" s="98"/>
      <c r="O121" s="2"/>
      <c r="P121" s="2"/>
    </row>
    <row r="122" spans="1:16" ht="18.75">
      <c r="A122" s="235" t="s">
        <v>52</v>
      </c>
      <c r="B122" s="270"/>
      <c r="C122" s="246" t="s">
        <v>53</v>
      </c>
      <c r="D122" s="247"/>
      <c r="E122" s="245"/>
      <c r="F122" s="166" t="s">
        <v>128</v>
      </c>
      <c r="G122" s="133" t="s">
        <v>3</v>
      </c>
      <c r="H122" s="72">
        <f>(($G8/H121)*(((2*$B15)*($B13-$B16))+((2*H91)*((0.5*H91)+$B13))))+((H118/H121)*(((2*H92)*($D23-((0.5*H92)+$B13)))+((2*$B15)*($D24+$B13+$B16))+(2*H104*$D23)))</f>
        <v>19.240573455926491</v>
      </c>
      <c r="I122" s="195"/>
      <c r="J122" s="97"/>
      <c r="K122" s="179" t="s">
        <v>226</v>
      </c>
      <c r="L122" s="2"/>
      <c r="M122" s="98"/>
      <c r="N122" s="98"/>
      <c r="O122" s="2"/>
      <c r="P122" s="2"/>
    </row>
    <row r="123" spans="1:16" ht="19.5" thickBot="1">
      <c r="A123" s="273"/>
      <c r="B123" s="274"/>
      <c r="C123" s="275" t="s">
        <v>54</v>
      </c>
      <c r="D123" s="276"/>
      <c r="E123" s="277"/>
      <c r="F123" s="169" t="s">
        <v>129</v>
      </c>
      <c r="G123" s="117" t="s">
        <v>3</v>
      </c>
      <c r="H123" s="99">
        <f>H122-$E31</f>
        <v>1.1321237790895253</v>
      </c>
      <c r="I123" s="197"/>
      <c r="J123" s="113"/>
      <c r="K123" s="179" t="s">
        <v>227</v>
      </c>
      <c r="L123" s="2"/>
      <c r="M123" s="2"/>
      <c r="N123" s="2"/>
      <c r="O123" s="2"/>
      <c r="P123" s="2"/>
    </row>
    <row r="124" spans="1:16">
      <c r="A124" s="2"/>
      <c r="B124" s="2"/>
      <c r="C124" s="2"/>
      <c r="D124" s="2"/>
      <c r="E124" s="2"/>
      <c r="F124" s="2"/>
      <c r="G124" s="2"/>
      <c r="H124" s="2"/>
      <c r="I124" s="114"/>
      <c r="J124" s="115"/>
      <c r="L124" s="2"/>
      <c r="M124" s="2"/>
      <c r="N124" s="2"/>
      <c r="O124" s="2"/>
      <c r="P124" s="2"/>
    </row>
  </sheetData>
  <mergeCells count="124">
    <mergeCell ref="C109:E109"/>
    <mergeCell ref="A109:B109"/>
    <mergeCell ref="A122:B122"/>
    <mergeCell ref="C122:E122"/>
    <mergeCell ref="A115:B115"/>
    <mergeCell ref="C115:E115"/>
    <mergeCell ref="A114:B114"/>
    <mergeCell ref="C114:E114"/>
    <mergeCell ref="A123:B123"/>
    <mergeCell ref="C123:E123"/>
    <mergeCell ref="A116:B116"/>
    <mergeCell ref="C116:E116"/>
    <mergeCell ref="A118:B118"/>
    <mergeCell ref="C118:E118"/>
    <mergeCell ref="C117:E117"/>
    <mergeCell ref="A117:B117"/>
    <mergeCell ref="A121:B121"/>
    <mergeCell ref="C121:E121"/>
    <mergeCell ref="A101:B101"/>
    <mergeCell ref="C101:E101"/>
    <mergeCell ref="A108:B108"/>
    <mergeCell ref="C108:E108"/>
    <mergeCell ref="A112:B112"/>
    <mergeCell ref="C112:E112"/>
    <mergeCell ref="A113:B113"/>
    <mergeCell ref="C113:E113"/>
    <mergeCell ref="A110:B110"/>
    <mergeCell ref="C110:E110"/>
    <mergeCell ref="A111:B111"/>
    <mergeCell ref="C111:E111"/>
    <mergeCell ref="A107:B107"/>
    <mergeCell ref="C107:E107"/>
    <mergeCell ref="A102:B102"/>
    <mergeCell ref="C102:E102"/>
    <mergeCell ref="A105:B105"/>
    <mergeCell ref="C105:E105"/>
    <mergeCell ref="A106:B106"/>
    <mergeCell ref="C106:E106"/>
    <mergeCell ref="A103:B103"/>
    <mergeCell ref="C103:E103"/>
    <mergeCell ref="A104:B104"/>
    <mergeCell ref="C104:E104"/>
    <mergeCell ref="A90:B90"/>
    <mergeCell ref="C90:E90"/>
    <mergeCell ref="A97:B97"/>
    <mergeCell ref="C97:E97"/>
    <mergeCell ref="A100:B100"/>
    <mergeCell ref="C100:E100"/>
    <mergeCell ref="A98:B98"/>
    <mergeCell ref="C98:E98"/>
    <mergeCell ref="A99:B99"/>
    <mergeCell ref="C99:E99"/>
    <mergeCell ref="A96:B96"/>
    <mergeCell ref="C96:E96"/>
    <mergeCell ref="A91:B91"/>
    <mergeCell ref="C91:E91"/>
    <mergeCell ref="A94:B94"/>
    <mergeCell ref="C94:E94"/>
    <mergeCell ref="A95:B95"/>
    <mergeCell ref="C95:E95"/>
    <mergeCell ref="A92:B92"/>
    <mergeCell ref="C92:E92"/>
    <mergeCell ref="A93:B93"/>
    <mergeCell ref="C93:E93"/>
    <mergeCell ref="A79:B79"/>
    <mergeCell ref="C79:E79"/>
    <mergeCell ref="A85:B85"/>
    <mergeCell ref="C85:E85"/>
    <mergeCell ref="A88:B88"/>
    <mergeCell ref="C88:E88"/>
    <mergeCell ref="A89:B89"/>
    <mergeCell ref="C89:E89"/>
    <mergeCell ref="A86:B86"/>
    <mergeCell ref="C86:E86"/>
    <mergeCell ref="A87:B87"/>
    <mergeCell ref="C87:E87"/>
    <mergeCell ref="A84:B84"/>
    <mergeCell ref="C84:E84"/>
    <mergeCell ref="A80:B80"/>
    <mergeCell ref="C80:E80"/>
    <mergeCell ref="A82:B82"/>
    <mergeCell ref="C82:E82"/>
    <mergeCell ref="A83:B83"/>
    <mergeCell ref="C83:E83"/>
    <mergeCell ref="A81:B81"/>
    <mergeCell ref="C81:E81"/>
    <mergeCell ref="A70:B70"/>
    <mergeCell ref="C70:E70"/>
    <mergeCell ref="A77:B77"/>
    <mergeCell ref="C77:E77"/>
    <mergeCell ref="A78:B78"/>
    <mergeCell ref="C78:E78"/>
    <mergeCell ref="A76:B76"/>
    <mergeCell ref="C76:E76"/>
    <mergeCell ref="A71:B71"/>
    <mergeCell ref="C71:E71"/>
    <mergeCell ref="A74:B74"/>
    <mergeCell ref="C74:E74"/>
    <mergeCell ref="A75:B75"/>
    <mergeCell ref="C75:E75"/>
    <mergeCell ref="A72:B72"/>
    <mergeCell ref="C72:E72"/>
    <mergeCell ref="A73:B73"/>
    <mergeCell ref="C73:E73"/>
    <mergeCell ref="A65:B65"/>
    <mergeCell ref="C65:E65"/>
    <mergeCell ref="A60:B60"/>
    <mergeCell ref="A68:B68"/>
    <mergeCell ref="C68:E68"/>
    <mergeCell ref="A69:B69"/>
    <mergeCell ref="C69:E69"/>
    <mergeCell ref="A66:B66"/>
    <mergeCell ref="C66:E66"/>
    <mergeCell ref="A67:B67"/>
    <mergeCell ref="C67:E67"/>
    <mergeCell ref="A64:B64"/>
    <mergeCell ref="C64:E64"/>
    <mergeCell ref="A62:B62"/>
    <mergeCell ref="C62:E62"/>
    <mergeCell ref="C63:E63"/>
    <mergeCell ref="A63:B63"/>
    <mergeCell ref="C61:E61"/>
    <mergeCell ref="A61:B61"/>
    <mergeCell ref="C60:E60"/>
  </mergeCells>
  <phoneticPr fontId="0" type="noConversion"/>
  <conditionalFormatting sqref="H78 H62 K48:M48">
    <cfRule type="containsText" dxfId="20" priority="71" operator="containsText" text="Spanningsverhouding niet mogelijk">
      <formula>NOT(ISERROR(SEARCH("Spanningsverhouding niet mogelijk",H48)))</formula>
    </cfRule>
  </conditionalFormatting>
  <pageMargins left="0.19685039370078741" right="0.19685039370078741" top="0.31496062992125984" bottom="0.31496062992125984" header="0.31496062992125984" footer="0.31496062992125984"/>
  <pageSetup paperSize="9" scale="35" orientation="portrait" r:id="rId1"/>
  <drawing r:id="rId2"/>
  <legacyDrawing r:id="rId3"/>
  <oleObjects>
    <oleObject progId="Word.Document.12" shapeId="3073" r:id="rId4"/>
    <oleObject progId="Equation.3" shapeId="3074" r:id="rId5"/>
    <oleObject progId="Equation.3" shapeId="3075" r:id="rId6"/>
    <oleObject progId="Equation.3" shapeId="3076" r:id="rId7"/>
    <oleObject progId="Equation.3" shapeId="3077" r:id="rId8"/>
    <oleObject progId="Equation.3" shapeId="3078" r:id="rId9"/>
    <oleObject progId="Equation.3" shapeId="3079" r:id="rId10"/>
    <oleObject progId="Equation.3" shapeId="3080" r:id="rId11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2</vt:i4>
      </vt:variant>
    </vt:vector>
  </HeadingPairs>
  <TitlesOfParts>
    <vt:vector size="5" baseType="lpstr">
      <vt:lpstr>Input,output</vt:lpstr>
      <vt:lpstr>Profieleigenschappen</vt:lpstr>
      <vt:lpstr>Berekening</vt:lpstr>
      <vt:lpstr>Berekening!Afdrukbereik</vt:lpstr>
      <vt:lpstr>Profieleigenschappen!Afdrukbereik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Monique</cp:lastModifiedBy>
  <cp:lastPrinted>2009-09-06T14:57:15Z</cp:lastPrinted>
  <dcterms:created xsi:type="dcterms:W3CDTF">2009-01-30T09:46:19Z</dcterms:created>
  <dcterms:modified xsi:type="dcterms:W3CDTF">2009-09-27T08:21:51Z</dcterms:modified>
</cp:coreProperties>
</file>