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Default Extension="wmf" ContentType="image/x-w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435" yWindow="0" windowWidth="12435" windowHeight="12195"/>
  </bookViews>
  <sheets>
    <sheet name="Input &amp; output" sheetId="7" r:id="rId1"/>
    <sheet name="Profieleigenschappen" sheetId="1" r:id="rId2"/>
    <sheet name="Berekening" sheetId="11" r:id="rId3"/>
  </sheets>
  <definedNames>
    <definedName name="_xlnm.Print_Area" localSheetId="2">Berekening!$77:$122</definedName>
    <definedName name="_xlnm.Print_Area" localSheetId="0">'Input &amp; output'!$A$2:$N$50</definedName>
    <definedName name="_xlnm.Print_Area" localSheetId="1">Profieleigenschappen!$A$2:$L$41</definedName>
    <definedName name="_xlnm.Print_Titles" localSheetId="2">Berekening!$1:$2</definedName>
    <definedName name="_xlnm.Print_Titles" localSheetId="0">'Input &amp; output'!$1:$1</definedName>
    <definedName name="_xlnm.Print_Titles" localSheetId="1">Profieleigenschappen!$1:$1</definedName>
    <definedName name="dfs" localSheetId="2">Berekening!#REF!</definedName>
    <definedName name="dfs" localSheetId="0">'Input &amp; output'!#REF!</definedName>
    <definedName name="dfs">Profieleigenschappen!#REF!</definedName>
  </definedNames>
  <calcPr calcId="125725"/>
</workbook>
</file>

<file path=xl/calcChain.xml><?xml version="1.0" encoding="utf-8"?>
<calcChain xmlns="http://schemas.openxmlformats.org/spreadsheetml/2006/main">
  <c r="G20" i="7"/>
  <c r="H111" i="11"/>
  <c r="B9"/>
  <c r="B8"/>
  <c r="G7"/>
  <c r="C22" s="1"/>
  <c r="B7"/>
  <c r="H112" s="1"/>
  <c r="G6"/>
  <c r="E22" s="1"/>
  <c r="B6"/>
  <c r="G5"/>
  <c r="D35" s="1"/>
  <c r="G4"/>
  <c r="B35" s="1"/>
  <c r="B36" s="1"/>
  <c r="B4"/>
  <c r="E20" i="7"/>
  <c r="H20" s="1"/>
  <c r="B9" i="1"/>
  <c r="B8"/>
  <c r="B7"/>
  <c r="B6"/>
  <c r="B4"/>
  <c r="G7"/>
  <c r="G6"/>
  <c r="G5"/>
  <c r="G4"/>
  <c r="B26" s="1"/>
  <c r="F18" i="7"/>
  <c r="H18"/>
  <c r="F17"/>
  <c r="H17" s="1"/>
  <c r="F15"/>
  <c r="H15" s="1"/>
  <c r="F13" i="11"/>
  <c r="D16"/>
  <c r="F16" s="1"/>
  <c r="A48" i="7"/>
  <c r="D13" i="11"/>
  <c r="I5"/>
  <c r="J4" i="1" l="1"/>
  <c r="I4"/>
  <c r="J5"/>
  <c r="E13"/>
  <c r="B27"/>
  <c r="E36" s="1"/>
  <c r="B5"/>
  <c r="B5" i="11"/>
  <c r="J4"/>
  <c r="D36"/>
  <c r="B43" s="1"/>
  <c r="B44" s="1"/>
  <c r="B47" s="1"/>
  <c r="B49" s="1"/>
  <c r="I4"/>
  <c r="E19"/>
  <c r="H97"/>
  <c r="C23"/>
  <c r="B27"/>
  <c r="A33" s="1"/>
  <c r="C19"/>
  <c r="F19" s="1"/>
  <c r="B18" i="1"/>
  <c r="C14"/>
  <c r="C13"/>
  <c r="D26"/>
  <c r="D27" s="1"/>
  <c r="I5"/>
  <c r="J5" i="11"/>
  <c r="B46"/>
  <c r="B45"/>
  <c r="E45"/>
  <c r="B36" i="1"/>
  <c r="D15" i="11"/>
  <c r="F15" s="1"/>
  <c r="B30" l="1"/>
  <c r="B37" i="1"/>
  <c r="B37" i="11"/>
  <c r="D37"/>
  <c r="B34" i="1"/>
  <c r="B35" s="1"/>
  <c r="B38" s="1"/>
  <c r="B40" s="1"/>
  <c r="B28"/>
  <c r="D28"/>
  <c r="B29" i="11"/>
  <c r="B32" s="1"/>
  <c r="B28"/>
  <c r="B31"/>
  <c r="B20" i="1"/>
  <c r="B23" s="1"/>
  <c r="A24"/>
  <c r="B21"/>
  <c r="B22"/>
  <c r="B19"/>
  <c r="B48" i="11"/>
  <c r="E43" l="1"/>
  <c r="E34" i="1"/>
  <c r="E35" s="1"/>
  <c r="B39"/>
  <c r="E37"/>
  <c r="E44" i="11"/>
  <c r="E47" s="1"/>
  <c r="E49" s="1"/>
  <c r="E46"/>
  <c r="D38"/>
  <c r="H113" s="1"/>
  <c r="H114" s="1"/>
  <c r="H115" s="1"/>
  <c r="H116" s="1"/>
  <c r="H117" s="1"/>
  <c r="H118" s="1"/>
  <c r="F37" i="7" s="1"/>
  <c r="B38" i="11"/>
  <c r="D29" i="1"/>
  <c r="B29"/>
  <c r="E48" i="11" l="1"/>
  <c r="E39" i="1"/>
  <c r="E23" i="11"/>
  <c r="F22" s="1"/>
  <c r="H98"/>
  <c r="H99" s="1"/>
  <c r="H100" s="1"/>
  <c r="H101" s="1"/>
  <c r="H102" s="1"/>
  <c r="E14" i="1"/>
  <c r="B42" i="7"/>
  <c r="E38" i="1"/>
  <c r="E40" s="1"/>
  <c r="A9" i="7" l="1"/>
  <c r="F13" i="1"/>
  <c r="A8" i="7"/>
  <c r="H104" i="11"/>
  <c r="H106" s="1"/>
  <c r="H103"/>
  <c r="H105" s="1"/>
  <c r="H107" l="1"/>
  <c r="H108"/>
  <c r="B37" i="7" l="1"/>
  <c r="H109" i="11"/>
  <c r="B38" i="7" s="1"/>
  <c r="I6" i="1" l="1"/>
  <c r="I6" i="11"/>
  <c r="J8" s="1"/>
  <c r="J6"/>
  <c r="J6" i="1"/>
  <c r="H121" i="11"/>
  <c r="H122" s="1"/>
  <c r="A12" i="7" l="1"/>
  <c r="A46" s="1"/>
  <c r="J8" i="1"/>
  <c r="B40" i="7"/>
  <c r="B41" l="1"/>
  <c r="H123" i="11"/>
  <c r="B43" i="7" s="1"/>
</calcChain>
</file>

<file path=xl/sharedStrings.xml><?xml version="1.0" encoding="utf-8"?>
<sst xmlns="http://schemas.openxmlformats.org/spreadsheetml/2006/main" count="383" uniqueCount="199">
  <si>
    <t>Karakteristieken afrondingsstraal</t>
  </si>
  <si>
    <t>r</t>
  </si>
  <si>
    <t>t</t>
  </si>
  <si>
    <t>mm</t>
  </si>
  <si>
    <t>h</t>
  </si>
  <si>
    <t>b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</si>
  <si>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</si>
  <si>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</si>
  <si>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</si>
  <si>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</si>
  <si>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</si>
  <si>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</si>
  <si>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</si>
  <si>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</si>
  <si>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</si>
  <si>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t>Eigenschappen effectieve doorsnede</t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</si>
  <si>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</si>
  <si>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</si>
  <si>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t>OUTPUT</t>
  </si>
  <si>
    <t>INPUT</t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</si>
  <si>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</si>
  <si>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eff</t>
    </r>
  </si>
  <si>
    <t>Rechte hoeken</t>
  </si>
  <si>
    <t>Met afronding</t>
  </si>
  <si>
    <t>Afgeleide profielmaten [mm]</t>
  </si>
  <si>
    <t>Voorwaarde voor de berekening</t>
  </si>
  <si>
    <t>Plaatdikte</t>
  </si>
  <si>
    <t>Geometrie van profiel</t>
  </si>
  <si>
    <t>h/t</t>
  </si>
  <si>
    <t>plaatdeel 1</t>
  </si>
  <si>
    <t>plaatdeel 2</t>
  </si>
  <si>
    <t>b/t</t>
  </si>
  <si>
    <r>
      <t xml:space="preserve">Profieleigenschappen </t>
    </r>
    <r>
      <rPr>
        <b/>
        <u/>
        <sz val="14"/>
        <color indexed="8"/>
        <rFont val="Arial"/>
        <family val="2"/>
      </rPr>
      <t>niet gereduceerde</t>
    </r>
    <r>
      <rPr>
        <b/>
        <sz val="14"/>
        <color indexed="8"/>
        <rFont val="Arial"/>
        <family val="2"/>
      </rPr>
      <t xml:space="preserve"> dwarsdoorsnede</t>
    </r>
  </si>
  <si>
    <t>Afrondingsstraal wel of niet in rekening brengen?</t>
  </si>
  <si>
    <t>≤</t>
  </si>
  <si>
    <t>Eenheid</t>
  </si>
  <si>
    <t>Plaatdeel 1</t>
  </si>
  <si>
    <t>plaat slankheid</t>
  </si>
  <si>
    <t>--</t>
  </si>
  <si>
    <t>reductie factor</t>
  </si>
  <si>
    <t>effectieve breedte</t>
  </si>
  <si>
    <t>Plaatdeel 2</t>
  </si>
  <si>
    <t>effectief oppervlak</t>
  </si>
  <si>
    <t>dwarsdoorsnede</t>
  </si>
  <si>
    <t>afstand van lijf tot zwaartepunt</t>
  </si>
  <si>
    <t>verschuiving zwaartepunt</t>
  </si>
  <si>
    <t>Initiële ber.</t>
  </si>
  <si>
    <t>Symbool</t>
  </si>
  <si>
    <t>Parameter</t>
  </si>
  <si>
    <t>Onderdeel</t>
  </si>
  <si>
    <t>Effectieve</t>
  </si>
  <si>
    <r>
      <t>y</t>
    </r>
    <r>
      <rPr>
        <i/>
        <vertAlign val="subscript"/>
        <sz val="12"/>
        <color indexed="8"/>
        <rFont val="Arial"/>
        <family val="2"/>
      </rPr>
      <t>g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</si>
  <si>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</si>
  <si>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r>
      <t xml:space="preserve">≤ </t>
    </r>
    <r>
      <rPr>
        <sz val="12.65"/>
        <color indexed="8"/>
        <rFont val="Arial"/>
        <family val="2"/>
      </rPr>
      <t>8</t>
    </r>
  </si>
  <si>
    <t>r ≤ 5 t</t>
  </si>
  <si>
    <t>EN 1993-1-3, 5.1 (3)</t>
  </si>
  <si>
    <t>EN 1993-1-5, 4.4 (2)</t>
  </si>
  <si>
    <t>ν</t>
  </si>
  <si>
    <t>spanningsverh.</t>
  </si>
  <si>
    <t>plooicoëfficiënt</t>
  </si>
  <si>
    <t>eff. profielmaten</t>
  </si>
  <si>
    <t>EN 1993-1-3, 5.1 (6)</t>
  </si>
  <si>
    <r>
      <t>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r + t/2</t>
    </r>
  </si>
  <si>
    <r>
      <t>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(tan 45° - sin 45°)</t>
    </r>
  </si>
  <si>
    <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½ * π * r</t>
    </r>
    <r>
      <rPr>
        <vertAlign val="subscript"/>
        <sz val="10"/>
        <color indexed="8"/>
        <rFont val="Times New Roman"/>
        <family val="1"/>
      </rPr>
      <t>m</t>
    </r>
  </si>
  <si>
    <r>
      <t>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0,637 * r</t>
    </r>
    <r>
      <rPr>
        <vertAlign val="subscript"/>
        <sz val="10"/>
        <color indexed="8"/>
        <rFont val="Times New Roman"/>
        <family val="1"/>
      </rPr>
      <t>m</t>
    </r>
  </si>
  <si>
    <r>
      <t>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0,149 * r</t>
    </r>
    <r>
      <rPr>
        <vertAlign val="subscript"/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 * t</t>
    </r>
  </si>
  <si>
    <t>EN 1993-1-3, tabel 5.1</t>
  </si>
  <si>
    <t>EN 1993-1-5, tabel 4.1</t>
  </si>
  <si>
    <r>
      <t>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h – t</t>
    </r>
  </si>
  <si>
    <r>
      <t>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b – t</t>
    </r>
  </si>
  <si>
    <r>
      <t>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r</t>
    </r>
    <r>
      <rPr>
        <vertAlign val="subscript"/>
        <sz val="10"/>
        <color indexed="8"/>
        <rFont val="Times New Roman"/>
        <family val="1"/>
      </rPr>
      <t>m</t>
    </r>
  </si>
  <si>
    <r>
      <t>h</t>
    </r>
    <r>
      <rPr>
        <vertAlign val="subscript"/>
        <sz val="10"/>
        <color indexed="8"/>
        <rFont val="Times New Roman"/>
        <family val="1"/>
      </rPr>
      <t xml:space="preserve">p </t>
    </r>
    <r>
      <rPr>
        <sz val="10"/>
        <color indexed="8"/>
        <rFont val="Times New Roman"/>
        <family val="1"/>
      </rPr>
      <t>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g</t>
    </r>
    <r>
      <rPr>
        <vertAlign val="subscript"/>
        <sz val="10"/>
        <color indexed="8"/>
        <rFont val="Times New Roman"/>
        <family val="1"/>
      </rPr>
      <t>r</t>
    </r>
  </si>
  <si>
    <r>
      <t>z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/ 2</t>
    </r>
  </si>
  <si>
    <r>
      <t>z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/ 2</t>
    </r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</si>
  <si>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</si>
  <si>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g,y,sh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g,y,sh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</si>
  <si>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</si>
  <si>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g,z,sh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g,z,sh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>)</t>
    </r>
  </si>
  <si>
    <r>
      <t>b</t>
    </r>
    <r>
      <rPr>
        <vertAlign val="subscript"/>
        <sz val="12"/>
        <color indexed="8"/>
        <rFont val="Times New Roman"/>
        <family val="1"/>
      </rPr>
      <t xml:space="preserve">p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g</t>
    </r>
    <r>
      <rPr>
        <vertAlign val="subscript"/>
        <sz val="12"/>
        <color indexed="8"/>
        <rFont val="Times New Roman"/>
        <family val="1"/>
      </rPr>
      <t>r</t>
    </r>
  </si>
  <si>
    <r>
      <t>b</t>
    </r>
    <r>
      <rPr>
        <vertAlign val="subscript"/>
        <sz val="12"/>
        <color indexed="8"/>
        <rFont val="Times New Roman"/>
        <family val="1"/>
      </rPr>
      <t xml:space="preserve">v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</si>
  <si>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rPr>
        <sz val="10"/>
        <color indexed="8"/>
        <rFont val="Times New Roman"/>
        <family val="1"/>
      </rPr>
      <t>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=  </t>
    </r>
    <r>
      <rPr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* t</t>
    </r>
  </si>
  <si>
    <r>
      <t>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(t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t)</t>
    </r>
    <r>
      <rPr>
        <sz val="10"/>
        <color indexed="8"/>
        <rFont val="Times New Roman"/>
        <family val="1"/>
      </rPr>
      <t xml:space="preserve">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>)</t>
    </r>
  </si>
  <si>
    <r>
      <t>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[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(½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)))</t>
    </r>
    <r>
      <rPr>
        <sz val="10"/>
        <color indexed="8"/>
        <rFont val="Times New Roman"/>
        <family val="1"/>
      </rPr>
      <t xml:space="preserve"> ]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</t>
    </r>
  </si>
  <si>
    <r>
      <t>y</t>
    </r>
    <r>
      <rPr>
        <i/>
        <vertAlign val="subscript"/>
        <sz val="11"/>
        <color indexed="8"/>
        <rFont val="Arial"/>
        <family val="2"/>
      </rPr>
      <t>g ,sh</t>
    </r>
  </si>
  <si>
    <r>
      <t>A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 xml:space="preserve"> = (2 * b</t>
    </r>
    <r>
      <rPr>
        <vertAlign val="subscript"/>
        <sz val="10"/>
        <color indexed="8"/>
        <rFont val="Times New Roman"/>
        <family val="1"/>
      </rPr>
      <t xml:space="preserve">m </t>
    </r>
    <r>
      <rPr>
        <sz val="10"/>
        <color indexed="8"/>
        <rFont val="Times New Roman"/>
        <family val="1"/>
      </rPr>
      <t>* t) + (t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</t>
    </r>
  </si>
  <si>
    <r>
      <t>z</t>
    </r>
    <r>
      <rPr>
        <i/>
        <vertAlign val="subscript"/>
        <sz val="11"/>
        <color indexed="8"/>
        <rFont val="Arial"/>
        <family val="2"/>
      </rPr>
      <t>g ,sh</t>
    </r>
  </si>
  <si>
    <r>
      <t>y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 xml:space="preserve"> = [ 2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t * 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) ] / A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 xml:space="preserve"> </t>
    </r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</si>
  <si>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(2 * (b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(½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)²)) + (1/12 * t * h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((½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)²)))</t>
    </r>
  </si>
  <si>
    <r>
      <t>I</t>
    </r>
    <r>
      <rPr>
        <vertAlign val="subscript"/>
        <sz val="10"/>
        <color indexed="8"/>
        <rFont val="Times New Roman"/>
        <family val="1"/>
      </rPr>
      <t>g,y,sh</t>
    </r>
    <r>
      <rPr>
        <sz val="10"/>
        <color indexed="8"/>
        <rFont val="Times New Roman"/>
        <family val="1"/>
      </rPr>
      <t xml:space="preserve"> = (2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t * (½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)²)) + (1/12 * t * (h</t>
    </r>
    <r>
      <rPr>
        <vertAlign val="subscript"/>
        <sz val="10"/>
        <color indexed="8"/>
        <rFont val="Times New Roman"/>
        <family val="1"/>
      </rPr>
      <t xml:space="preserve">m </t>
    </r>
    <r>
      <rPr>
        <sz val="10"/>
        <color indexed="8"/>
        <rFont val="Times New Roman"/>
        <family val="1"/>
      </rPr>
      <t>³))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</si>
  <si>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(</t>
    </r>
    <r>
      <rPr>
        <sz val="10"/>
        <color indexed="8"/>
        <rFont val="Times New Roman"/>
        <family val="1"/>
      </rPr>
      <t>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²))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))²))) + (2 * ((1/12 * 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³) + (t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)²))) </t>
    </r>
  </si>
  <si>
    <r>
      <t>I</t>
    </r>
    <r>
      <rPr>
        <vertAlign val="subscript"/>
        <sz val="10"/>
        <color indexed="8"/>
        <rFont val="Times New Roman"/>
        <family val="1"/>
      </rPr>
      <t>g,z,sh</t>
    </r>
    <r>
      <rPr>
        <sz val="10"/>
        <color indexed="8"/>
        <rFont val="Times New Roman"/>
        <family val="1"/>
      </rPr>
      <t xml:space="preserve"> = (2 * ((1/12 * t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³) + (t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((½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- y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>)²))) + (h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t * y</t>
    </r>
    <r>
      <rPr>
        <vertAlign val="subscript"/>
        <sz val="10"/>
        <color indexed="8"/>
        <rFont val="Times New Roman"/>
        <family val="1"/>
      </rPr>
      <t>g,sh</t>
    </r>
    <r>
      <rPr>
        <sz val="10"/>
        <color indexed="8"/>
        <rFont val="Times New Roman"/>
        <family val="1"/>
      </rPr>
      <t>²)</t>
    </r>
  </si>
  <si>
    <r>
      <t>≤</t>
    </r>
    <r>
      <rPr>
        <sz val="11"/>
        <color indexed="8"/>
        <rFont val="Arial"/>
        <family val="2"/>
      </rPr>
      <t xml:space="preserve"> 500</t>
    </r>
  </si>
  <si>
    <r>
      <t>≤</t>
    </r>
    <r>
      <rPr>
        <sz val="11"/>
        <color indexed="8"/>
        <rFont val="Arial"/>
        <family val="2"/>
      </rPr>
      <t xml:space="preserve"> 50</t>
    </r>
  </si>
  <si>
    <r>
      <t>y</t>
    </r>
    <r>
      <rPr>
        <i/>
        <vertAlign val="subscript"/>
        <sz val="11"/>
        <color indexed="8"/>
        <rFont val="Arial"/>
        <family val="2"/>
      </rPr>
      <t>g;sh</t>
    </r>
  </si>
  <si>
    <r>
      <t>z</t>
    </r>
    <r>
      <rPr>
        <i/>
        <vertAlign val="subscript"/>
        <sz val="11"/>
        <color indexed="8"/>
        <rFont val="Arial"/>
        <family val="2"/>
      </rPr>
      <t>g;sh</t>
    </r>
  </si>
  <si>
    <t>1 ≤</t>
  </si>
  <si>
    <t>U-N: Profieleigenschappen</t>
  </si>
  <si>
    <t>U-N: Input &amp; output</t>
  </si>
  <si>
    <t>afrondingsstraal</t>
  </si>
  <si>
    <r>
      <t>I</t>
    </r>
    <r>
      <rPr>
        <i/>
        <vertAlign val="subscript"/>
        <sz val="12"/>
        <color indexed="8"/>
        <rFont val="Arial"/>
        <family val="2"/>
      </rPr>
      <t>g;y;sh</t>
    </r>
  </si>
  <si>
    <r>
      <t>I</t>
    </r>
    <r>
      <rPr>
        <i/>
        <vertAlign val="subscript"/>
        <sz val="12"/>
        <color indexed="8"/>
        <rFont val="Arial"/>
        <family val="2"/>
      </rPr>
      <t>g;z;sh</t>
    </r>
  </si>
  <si>
    <r>
      <t>i</t>
    </r>
    <r>
      <rPr>
        <i/>
        <vertAlign val="subscript"/>
        <sz val="12"/>
        <color indexed="8"/>
        <rFont val="Arial"/>
        <family val="2"/>
      </rPr>
      <t>g;y;sh</t>
    </r>
  </si>
  <si>
    <r>
      <t>i</t>
    </r>
    <r>
      <rPr>
        <i/>
        <vertAlign val="subscript"/>
        <sz val="12"/>
        <color indexed="8"/>
        <rFont val="Arial"/>
        <family val="2"/>
      </rPr>
      <t>g;z;sh</t>
    </r>
  </si>
  <si>
    <r>
      <t>i</t>
    </r>
    <r>
      <rPr>
        <i/>
        <vertAlign val="subscript"/>
        <sz val="12"/>
        <color indexed="8"/>
        <rFont val="Arial"/>
        <family val="2"/>
      </rPr>
      <t>g;z</t>
    </r>
  </si>
  <si>
    <r>
      <t>i</t>
    </r>
    <r>
      <rPr>
        <i/>
        <vertAlign val="subscript"/>
        <sz val="12"/>
        <color indexed="8"/>
        <rFont val="Arial"/>
        <family val="2"/>
      </rPr>
      <t>g;y</t>
    </r>
  </si>
  <si>
    <r>
      <t>I</t>
    </r>
    <r>
      <rPr>
        <i/>
        <vertAlign val="subscript"/>
        <sz val="12"/>
        <color indexed="8"/>
        <rFont val="Arial"/>
        <family val="2"/>
      </rPr>
      <t>g;z</t>
    </r>
  </si>
  <si>
    <r>
      <t>z</t>
    </r>
    <r>
      <rPr>
        <i/>
        <vertAlign val="subscript"/>
        <sz val="12"/>
        <color indexed="8"/>
        <rFont val="Arial"/>
        <family val="2"/>
      </rPr>
      <t>g</t>
    </r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</si>
  <si>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</si>
  <si>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y</t>
    </r>
    <r>
      <rPr>
        <i/>
        <vertAlign val="subscript"/>
        <sz val="11"/>
        <color indexed="8"/>
        <rFont val="Arial"/>
        <family val="2"/>
      </rPr>
      <t>eff</t>
    </r>
  </si>
  <si>
    <r>
      <t>e</t>
    </r>
    <r>
      <rPr>
        <i/>
        <vertAlign val="subscript"/>
        <sz val="11"/>
        <color indexed="8"/>
        <rFont val="Arial"/>
        <family val="2"/>
      </rPr>
      <t>Nz</t>
    </r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</si>
  <si>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</si>
  <si>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h</t>
    </r>
    <r>
      <rPr>
        <i/>
        <vertAlign val="subscript"/>
        <sz val="12"/>
        <color indexed="8"/>
        <rFont val="Arial"/>
        <family val="2"/>
      </rPr>
      <t>m</t>
    </r>
  </si>
  <si>
    <r>
      <t>h</t>
    </r>
    <r>
      <rPr>
        <i/>
        <vertAlign val="subscript"/>
        <sz val="12"/>
        <color indexed="8"/>
        <rFont val="Arial"/>
        <family val="2"/>
      </rPr>
      <t>v</t>
    </r>
  </si>
  <si>
    <r>
      <t>h</t>
    </r>
    <r>
      <rPr>
        <i/>
        <vertAlign val="subscript"/>
        <sz val="12"/>
        <color indexed="8"/>
        <rFont val="Arial"/>
        <family val="2"/>
      </rPr>
      <t>p</t>
    </r>
  </si>
  <si>
    <r>
      <t>b</t>
    </r>
    <r>
      <rPr>
        <i/>
        <vertAlign val="subscript"/>
        <sz val="12"/>
        <color indexed="8"/>
        <rFont val="Arial"/>
        <family val="2"/>
      </rPr>
      <t>m</t>
    </r>
  </si>
  <si>
    <r>
      <t>b</t>
    </r>
    <r>
      <rPr>
        <i/>
        <vertAlign val="subscript"/>
        <sz val="12"/>
        <color indexed="8"/>
        <rFont val="Arial"/>
        <family val="2"/>
      </rPr>
      <t>v</t>
    </r>
  </si>
  <si>
    <r>
      <t>b</t>
    </r>
    <r>
      <rPr>
        <i/>
        <vertAlign val="subscript"/>
        <sz val="12"/>
        <color indexed="8"/>
        <rFont val="Arial"/>
        <family val="2"/>
      </rPr>
      <t>p</t>
    </r>
  </si>
  <si>
    <t>EN 1993-1-3 NB, 3.2.4</t>
  </si>
  <si>
    <r>
      <t xml:space="preserve">0,04 * </t>
    </r>
    <r>
      <rPr>
        <i/>
        <sz val="11"/>
        <color indexed="8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</si>
  <si>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</si>
  <si>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</si>
  <si>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</si>
  <si>
    <r>
      <t>h</t>
    </r>
    <r>
      <rPr>
        <i/>
        <vertAlign val="subscript"/>
        <sz val="11"/>
        <color indexed="8"/>
        <rFont val="Arial"/>
        <family val="2"/>
      </rPr>
      <t>eff2,v</t>
    </r>
  </si>
  <si>
    <r>
      <t>y</t>
    </r>
    <r>
      <rPr>
        <i/>
        <vertAlign val="subscript"/>
        <sz val="11"/>
        <color indexed="8"/>
        <rFont val="Arial"/>
        <family val="2"/>
      </rPr>
      <t xml:space="preserve">g </t>
    </r>
  </si>
  <si>
    <r>
      <t>b</t>
    </r>
    <r>
      <rPr>
        <i/>
        <vertAlign val="subscript"/>
        <sz val="11"/>
        <color indexed="8"/>
        <rFont val="Arial"/>
        <family val="2"/>
      </rPr>
      <t>eff,v</t>
    </r>
  </si>
  <si>
    <t>≤ 8</t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</si>
  <si>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5 </t>
    </r>
    <r>
      <rPr>
        <i/>
        <sz val="11"/>
        <color indexed="8"/>
        <rFont val="Arial"/>
        <family val="2"/>
      </rPr>
      <t>t</t>
    </r>
  </si>
  <si>
    <r>
      <rPr>
        <i/>
        <sz val="11"/>
        <color indexed="8"/>
        <rFont val="Arial"/>
        <family val="2"/>
      </rPr>
      <t xml:space="preserve">r </t>
    </r>
    <r>
      <rPr>
        <sz val="11"/>
        <color indexed="8"/>
        <rFont val="Arial"/>
        <family val="2"/>
      </rPr>
      <t xml:space="preserve">≤ 0,1 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p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</si>
  <si>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</si>
  <si>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</si>
  <si>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l</t>
    </r>
    <r>
      <rPr>
        <i/>
        <vertAlign val="subscript"/>
        <sz val="11"/>
        <color indexed="8"/>
        <rFont val="Times New Roman"/>
        <family val="1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</si>
  <si>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</si>
  <si>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</si>
  <si>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</si>
  <si>
    <r>
      <t>A</t>
    </r>
    <r>
      <rPr>
        <i/>
        <vertAlign val="subscript"/>
        <sz val="11"/>
        <color indexed="8"/>
        <rFont val="Arial"/>
        <family val="2"/>
      </rPr>
      <t>g;sh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</si>
  <si>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</si>
  <si>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2"/>
        <color indexed="8"/>
        <rFont val="Arial"/>
        <family val="2"/>
      </rPr>
      <t>g;y</t>
    </r>
  </si>
  <si>
    <r>
      <t>f</t>
    </r>
    <r>
      <rPr>
        <i/>
        <vertAlign val="subscript"/>
        <sz val="11"/>
        <color theme="1"/>
        <rFont val="Arial"/>
        <family val="2"/>
      </rPr>
      <t>yb</t>
    </r>
  </si>
  <si>
    <r>
      <t xml:space="preserve">0,04 * </t>
    </r>
    <r>
      <rPr>
        <i/>
        <sz val="11"/>
        <color theme="1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</si>
  <si>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t>r ≤ 0,1 b</t>
    </r>
    <r>
      <rPr>
        <i/>
        <vertAlign val="subscript"/>
        <sz val="12"/>
        <color indexed="8"/>
        <rFont val="Arial"/>
        <family val="2"/>
      </rPr>
      <t>p</t>
    </r>
  </si>
  <si>
    <r>
      <t>A</t>
    </r>
    <r>
      <rPr>
        <i/>
        <vertAlign val="subscript"/>
        <sz val="11"/>
        <color indexed="8"/>
        <rFont val="Arial"/>
        <family val="2"/>
      </rPr>
      <t>g, 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</si>
  <si>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</si>
  <si>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</si>
  <si>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</si>
  <si>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</si>
  <si>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</si>
  <si>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</si>
  <si>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</si>
  <si>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</si>
  <si>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</si>
  <si>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</si>
  <si>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</si>
  <si>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b</t>
    </r>
    <r>
      <rPr>
        <i/>
        <vertAlign val="subscript"/>
        <sz val="11"/>
        <color indexed="8"/>
        <rFont val="Arial"/>
        <family val="2"/>
      </rPr>
      <t>e2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</si>
  <si>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eff1 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</si>
  <si>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eff2 </t>
    </r>
  </si>
  <si>
    <r>
      <t>b</t>
    </r>
    <r>
      <rPr>
        <i/>
        <vertAlign val="subscript"/>
        <sz val="11"/>
        <color indexed="8"/>
        <rFont val="Arial"/>
        <family val="2"/>
      </rPr>
      <t>eff,m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</si>
  <si>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</si>
  <si>
    <r>
      <t>h</t>
    </r>
    <r>
      <rPr>
        <i/>
        <vertAlign val="subscript"/>
        <sz val="11"/>
        <color indexed="8"/>
        <rFont val="Arial"/>
        <family val="2"/>
      </rPr>
      <t>eff2,m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</si>
  <si>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</t>
    </r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</si>
  <si>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</si>
  <si>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</si>
  <si>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</si>
  <si>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</si>
  <si>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</si>
  <si>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t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</si>
  <si>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</si>
  <si>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</si>
  <si>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</si>
  <si>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</si>
  <si>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</si>
  <si>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(½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)))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</si>
  <si>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</si>
  <si>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g;y</t>
    </r>
    <r>
      <rPr>
        <i/>
        <sz val="11"/>
        <color indexed="8"/>
        <rFont val="Arial"/>
        <family val="2"/>
      </rPr>
      <t xml:space="preserve"> = (2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</t>
    </r>
  </si>
  <si>
    <r>
      <t>I</t>
    </r>
    <r>
      <rPr>
        <i/>
        <vertAlign val="subscript"/>
        <sz val="11"/>
        <color indexed="8"/>
        <rFont val="Arial"/>
        <family val="2"/>
      </rPr>
      <t>g;z</t>
    </r>
    <r>
      <rPr>
        <i/>
        <sz val="11"/>
        <color indexed="8"/>
        <rFont val="Arial"/>
        <family val="2"/>
      </rPr>
      <t xml:space="preserve"> = ((h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((1/12 * 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³) +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)²))) </t>
    </r>
  </si>
  <si>
    <r>
      <t>i</t>
    </r>
    <r>
      <rPr>
        <i/>
        <vertAlign val="subscript"/>
        <sz val="11"/>
        <color indexed="8"/>
        <rFont val="Arial"/>
        <family val="2"/>
      </rPr>
      <t>g;y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</si>
  <si>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g;z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</si>
  <si>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 1</t>
    </r>
    <r>
      <rPr>
        <i/>
        <sz val="11"/>
        <color indexed="8"/>
        <rFont val="Arial"/>
        <family val="2"/>
      </rPr>
      <t xml:space="preserve"> = 0,5 * h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</si>
  <si>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 2</t>
    </r>
    <r>
      <rPr>
        <i/>
        <sz val="11"/>
        <color indexed="8"/>
        <rFont val="Arial"/>
        <family val="2"/>
      </rPr>
      <t xml:space="preserve"> = 0,5 * h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</si>
  <si>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1;m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</si>
  <si>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2;m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2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</si>
  <si>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1;v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1;m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</si>
  <si>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2;v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2;m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</si>
  <si>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eff;m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 xml:space="preserve">eff 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</si>
  <si>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eff;v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eff;m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</si>
  <si>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e</t>
    </r>
    <r>
      <rPr>
        <i/>
        <vertAlign val="subscript"/>
        <sz val="11"/>
        <color indexed="8"/>
        <rFont val="Arial"/>
        <family val="2"/>
      </rPr>
      <t>Nz</t>
    </r>
    <r>
      <rPr>
        <i/>
        <sz val="11"/>
        <color indexed="8"/>
        <rFont val="Arial"/>
        <family val="2"/>
      </rPr>
      <t xml:space="preserve"> = 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-y</t>
    </r>
    <r>
      <rPr>
        <i/>
        <vertAlign val="subscript"/>
        <sz val="11"/>
        <color indexed="8"/>
        <rFont val="Arial"/>
        <family val="2"/>
      </rPr>
      <t>g</t>
    </r>
  </si>
  <si>
    <t>Scherpe hoeken</t>
  </si>
  <si>
    <t>Met afrondingsstraal</t>
  </si>
  <si>
    <t>Bepaling effectieve doorsnede van plaatdelen</t>
  </si>
  <si>
    <t>Bepaling eigenschappen effectieve profieldoorsnede</t>
  </si>
  <si>
    <t>(lijf)</t>
  </si>
  <si>
    <t>(flens)</t>
  </si>
  <si>
    <r>
      <rPr>
        <i/>
        <sz val="11"/>
        <color theme="1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</si>
  <si>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rPr>
        <i/>
        <sz val="11"/>
        <color indexed="8"/>
        <rFont val="Arial"/>
        <family val="2"/>
      </rP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 xml:space="preserve">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</si>
  <si>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eff1;v</t>
    </r>
    <r>
      <rPr>
        <i/>
        <sz val="11"/>
        <color indexed="8"/>
        <rFont val="Arial"/>
        <family val="2"/>
      </rPr>
      <t xml:space="preserve"> + h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(2 * 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) + (2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) ] * t </t>
    </r>
  </si>
  <si>
    <r>
      <t>y</t>
    </r>
    <r>
      <rPr>
        <i/>
        <vertAlign val="subscript"/>
        <sz val="11"/>
        <rFont val="Arial"/>
        <family val="2"/>
      </rPr>
      <t>eff</t>
    </r>
    <r>
      <rPr>
        <i/>
        <sz val="11"/>
        <rFont val="Arial"/>
        <family val="2"/>
      </rPr>
      <t xml:space="preserve"> = (t / A</t>
    </r>
    <r>
      <rPr>
        <i/>
        <vertAlign val="subscript"/>
        <sz val="11"/>
        <rFont val="Arial"/>
        <family val="2"/>
      </rPr>
      <t>eff</t>
    </r>
    <r>
      <rPr>
        <i/>
        <sz val="11"/>
        <rFont val="Arial"/>
        <family val="2"/>
      </rPr>
      <t>) * ((2 * g</t>
    </r>
    <r>
      <rPr>
        <i/>
        <vertAlign val="subscript"/>
        <sz val="11"/>
        <rFont val="Arial"/>
        <family val="2"/>
      </rPr>
      <t>r</t>
    </r>
    <r>
      <rPr>
        <i/>
        <sz val="11"/>
        <rFont val="Arial"/>
        <family val="2"/>
      </rPr>
      <t xml:space="preserve"> * </t>
    </r>
    <r>
      <rPr>
        <i/>
        <sz val="11"/>
        <rFont val="Mistral"/>
        <family val="4"/>
      </rPr>
      <t>l</t>
    </r>
    <r>
      <rPr>
        <i/>
        <vertAlign val="subscript"/>
        <sz val="11"/>
        <rFont val="Arial"/>
        <family val="2"/>
      </rPr>
      <t>r</t>
    </r>
    <r>
      <rPr>
        <i/>
        <sz val="11"/>
        <rFont val="Arial"/>
        <family val="2"/>
      </rPr>
      <t>) + ((2 * b</t>
    </r>
    <r>
      <rPr>
        <i/>
        <vertAlign val="subscript"/>
        <sz val="11"/>
        <rFont val="Arial"/>
        <family val="2"/>
      </rPr>
      <t>eff;v</t>
    </r>
    <r>
      <rPr>
        <i/>
        <sz val="11"/>
        <rFont val="Arial"/>
        <family val="2"/>
      </rPr>
      <t>) * ((½ * b</t>
    </r>
    <r>
      <rPr>
        <i/>
        <vertAlign val="subscript"/>
        <sz val="11"/>
        <rFont val="Arial"/>
        <family val="2"/>
      </rPr>
      <t>eff;v</t>
    </r>
    <r>
      <rPr>
        <i/>
        <sz val="11"/>
        <rFont val="Arial"/>
        <family val="2"/>
      </rPr>
      <t xml:space="preserve"> ) + r</t>
    </r>
    <r>
      <rPr>
        <i/>
        <vertAlign val="subscript"/>
        <sz val="11"/>
        <rFont val="Arial"/>
        <family val="2"/>
      </rPr>
      <t>m</t>
    </r>
    <r>
      <rPr>
        <i/>
        <sz val="11"/>
        <rFont val="Arial"/>
        <family val="2"/>
      </rPr>
      <t>)))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</si>
  <si>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eff,v  </t>
    </r>
  </si>
  <si>
    <t>U-N: Berekening effectieve profieldoorsnede</t>
  </si>
  <si>
    <r>
      <rPr>
        <b/>
        <sz val="11"/>
        <color theme="1"/>
        <rFont val="Arial"/>
        <family val="2"/>
      </rPr>
      <t xml:space="preserve">Profieleigenschappen </t>
    </r>
    <r>
      <rPr>
        <b/>
        <sz val="11"/>
        <color indexed="8"/>
        <rFont val="Arial"/>
        <family val="2"/>
      </rPr>
      <t>niet gereduceerde dwarsdoorsnede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</si>
</sst>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8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2.65"/>
      <color indexed="8"/>
      <name val="Arial"/>
      <family val="2"/>
    </font>
    <font>
      <i/>
      <vertAlign val="subscript"/>
      <sz val="12"/>
      <color indexed="8"/>
      <name val="Arial"/>
      <family val="2"/>
    </font>
    <font>
      <i/>
      <sz val="9"/>
      <name val="Arial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sz val="10"/>
      <color indexed="8"/>
      <name val="Brush Script MT"/>
      <family val="4"/>
    </font>
    <font>
      <vertAlign val="superscript"/>
      <sz val="10"/>
      <color indexed="8"/>
      <name val="Times New Roman"/>
      <family val="1"/>
    </font>
    <font>
      <sz val="12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i/>
      <sz val="11"/>
      <color indexed="8"/>
      <name val="Arial"/>
      <family val="2"/>
    </font>
    <font>
      <i/>
      <vertAlign val="subscript"/>
      <sz val="11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</font>
    <font>
      <i/>
      <sz val="9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4"/>
      <color theme="1"/>
      <name val="Mistral"/>
      <family val="4"/>
    </font>
    <font>
      <i/>
      <sz val="9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sz val="16"/>
      <color theme="1"/>
      <name val="Mistral"/>
      <family val="4"/>
    </font>
    <font>
      <sz val="10"/>
      <color theme="1"/>
      <name val="Times New Roman"/>
      <family val="1"/>
    </font>
    <font>
      <sz val="10"/>
      <color theme="1"/>
      <name val="Brush Script MT"/>
      <family val="4"/>
    </font>
    <font>
      <sz val="12"/>
      <color theme="1"/>
      <name val="Times New Roman"/>
      <family val="1"/>
    </font>
    <font>
      <b/>
      <u/>
      <sz val="16"/>
      <color theme="1"/>
      <name val="Arial"/>
      <family val="2"/>
    </font>
    <font>
      <sz val="11"/>
      <color rgb="FF00B0F0"/>
      <name val="Calibri"/>
      <family val="2"/>
      <scheme val="minor"/>
    </font>
    <font>
      <i/>
      <sz val="11"/>
      <color theme="1"/>
      <name val="Arial"/>
      <family val="2"/>
    </font>
    <font>
      <i/>
      <sz val="11"/>
      <color theme="1"/>
      <name val="Times New Roman"/>
      <family val="1"/>
    </font>
    <font>
      <i/>
      <sz val="16"/>
      <color theme="1"/>
      <name val="Mistral"/>
      <family val="4"/>
    </font>
    <font>
      <i/>
      <sz val="1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1"/>
      <name val="Calibri"/>
      <family val="2"/>
      <scheme val="minor"/>
    </font>
    <font>
      <i/>
      <vertAlign val="subscript"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vertAlign val="superscript"/>
      <sz val="11"/>
      <color indexed="8"/>
      <name val="Arial"/>
      <family val="2"/>
    </font>
    <font>
      <i/>
      <sz val="10"/>
      <color theme="1"/>
      <name val="Arial"/>
      <family val="2"/>
    </font>
    <font>
      <i/>
      <sz val="11"/>
      <name val="Arial"/>
      <family val="2"/>
    </font>
    <font>
      <i/>
      <vertAlign val="subscript"/>
      <sz val="1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i/>
      <sz val="11"/>
      <color theme="1"/>
      <name val="Mistral"/>
      <family val="4"/>
    </font>
    <font>
      <i/>
      <sz val="11"/>
      <color indexed="8"/>
      <name val="Mistral"/>
      <family val="4"/>
    </font>
    <font>
      <i/>
      <sz val="11"/>
      <name val="Mistral"/>
      <family val="4"/>
    </font>
    <font>
      <b/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20" fillId="0" borderId="0" xfId="0" applyFont="1"/>
    <xf numFmtId="0" fontId="20" fillId="0" borderId="0" xfId="0" applyFont="1" applyFill="1" applyBorder="1"/>
    <xf numFmtId="0" fontId="21" fillId="0" borderId="0" xfId="0" applyFont="1" applyBorder="1"/>
    <xf numFmtId="0" fontId="20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" fillId="0" borderId="0" xfId="0" applyFont="1" applyFill="1" applyBorder="1" applyProtection="1"/>
    <xf numFmtId="0" fontId="23" fillId="0" borderId="0" xfId="0" applyFont="1" applyFill="1" applyBorder="1"/>
    <xf numFmtId="0" fontId="20" fillId="0" borderId="3" xfId="0" applyFont="1" applyFill="1" applyBorder="1"/>
    <xf numFmtId="0" fontId="2" fillId="0" borderId="3" xfId="0" applyFont="1" applyFill="1" applyBorder="1" applyProtection="1"/>
    <xf numFmtId="0" fontId="20" fillId="0" borderId="4" xfId="0" applyFont="1" applyBorder="1"/>
    <xf numFmtId="0" fontId="20" fillId="0" borderId="1" xfId="0" applyFont="1" applyFill="1" applyBorder="1"/>
    <xf numFmtId="0" fontId="20" fillId="0" borderId="4" xfId="0" applyFont="1" applyFill="1" applyBorder="1"/>
    <xf numFmtId="0" fontId="20" fillId="0" borderId="2" xfId="0" applyFont="1" applyBorder="1"/>
    <xf numFmtId="0" fontId="20" fillId="0" borderId="5" xfId="0" applyFont="1" applyBorder="1"/>
    <xf numFmtId="0" fontId="21" fillId="0" borderId="1" xfId="0" applyFont="1" applyFill="1" applyBorder="1"/>
    <xf numFmtId="0" fontId="20" fillId="0" borderId="2" xfId="0" applyFont="1" applyFill="1" applyBorder="1"/>
    <xf numFmtId="0" fontId="2" fillId="0" borderId="2" xfId="0" applyFont="1" applyFill="1" applyBorder="1" applyProtection="1"/>
    <xf numFmtId="0" fontId="21" fillId="0" borderId="6" xfId="0" applyFont="1" applyFill="1" applyBorder="1"/>
    <xf numFmtId="0" fontId="21" fillId="0" borderId="0" xfId="0" applyFont="1" applyFill="1" applyBorder="1" applyAlignment="1">
      <alignment horizontal="left"/>
    </xf>
    <xf numFmtId="0" fontId="20" fillId="0" borderId="5" xfId="0" applyFont="1" applyFill="1" applyBorder="1"/>
    <xf numFmtId="0" fontId="20" fillId="0" borderId="7" xfId="0" applyFont="1" applyFill="1" applyBorder="1"/>
    <xf numFmtId="2" fontId="24" fillId="0" borderId="0" xfId="0" applyNumberFormat="1" applyFont="1" applyFill="1" applyBorder="1"/>
    <xf numFmtId="164" fontId="24" fillId="0" borderId="0" xfId="0" applyNumberFormat="1" applyFont="1" applyFill="1" applyBorder="1"/>
    <xf numFmtId="0" fontId="23" fillId="0" borderId="0" xfId="0" applyFont="1" applyFill="1" applyBorder="1" applyProtection="1"/>
    <xf numFmtId="0" fontId="0" fillId="0" borderId="0" xfId="0" applyFill="1"/>
    <xf numFmtId="0" fontId="20" fillId="0" borderId="0" xfId="0" applyFont="1" applyAlignment="1">
      <alignment horizontal="left"/>
    </xf>
    <xf numFmtId="0" fontId="20" fillId="0" borderId="8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0" fillId="0" borderId="0" xfId="0" applyFont="1" applyFill="1"/>
    <xf numFmtId="0" fontId="25" fillId="0" borderId="0" xfId="0" applyFont="1"/>
    <xf numFmtId="0" fontId="25" fillId="0" borderId="0" xfId="0" applyFont="1" applyBorder="1"/>
    <xf numFmtId="0" fontId="25" fillId="0" borderId="0" xfId="0" applyFont="1" applyFill="1"/>
    <xf numFmtId="0" fontId="23" fillId="0" borderId="0" xfId="0" applyFont="1"/>
    <xf numFmtId="0" fontId="20" fillId="0" borderId="8" xfId="0" quotePrefix="1" applyFont="1" applyBorder="1" applyAlignment="1">
      <alignment horizontal="left"/>
    </xf>
    <xf numFmtId="0" fontId="21" fillId="0" borderId="0" xfId="0" applyFont="1" applyFill="1"/>
    <xf numFmtId="2" fontId="20" fillId="0" borderId="0" xfId="0" applyNumberFormat="1" applyFont="1" applyFill="1" applyBorder="1" applyAlignment="1"/>
    <xf numFmtId="0" fontId="20" fillId="0" borderId="0" xfId="0" applyFont="1" applyFill="1" applyAlignment="1"/>
    <xf numFmtId="0" fontId="20" fillId="0" borderId="0" xfId="0" applyFont="1" applyAlignment="1"/>
    <xf numFmtId="2" fontId="20" fillId="0" borderId="0" xfId="0" applyNumberFormat="1" applyFont="1" applyAlignment="1">
      <alignment horizontal="left"/>
    </xf>
    <xf numFmtId="0" fontId="0" fillId="0" borderId="3" xfId="0" applyBorder="1"/>
    <xf numFmtId="0" fontId="20" fillId="0" borderId="3" xfId="0" applyFont="1" applyBorder="1"/>
    <xf numFmtId="0" fontId="21" fillId="0" borderId="9" xfId="0" applyFont="1" applyBorder="1"/>
    <xf numFmtId="0" fontId="20" fillId="0" borderId="10" xfId="0" applyFont="1" applyBorder="1"/>
    <xf numFmtId="0" fontId="20" fillId="0" borderId="11" xfId="0" applyFont="1" applyBorder="1"/>
    <xf numFmtId="0" fontId="26" fillId="0" borderId="9" xfId="0" applyFont="1" applyFill="1" applyBorder="1"/>
    <xf numFmtId="0" fontId="2" fillId="0" borderId="10" xfId="0" applyFont="1" applyFill="1" applyBorder="1"/>
    <xf numFmtId="0" fontId="20" fillId="0" borderId="10" xfId="0" applyFont="1" applyFill="1" applyBorder="1"/>
    <xf numFmtId="2" fontId="20" fillId="0" borderId="0" xfId="0" applyNumberFormat="1" applyFont="1" applyFill="1" applyBorder="1"/>
    <xf numFmtId="0" fontId="20" fillId="0" borderId="11" xfId="0" applyFont="1" applyFill="1" applyBorder="1"/>
    <xf numFmtId="0" fontId="20" fillId="0" borderId="0" xfId="0" applyFont="1" applyFill="1" applyBorder="1" applyAlignment="1">
      <alignment horizontal="right"/>
    </xf>
    <xf numFmtId="0" fontId="0" fillId="0" borderId="7" xfId="0" applyBorder="1"/>
    <xf numFmtId="0" fontId="19" fillId="0" borderId="0" xfId="0" applyFont="1" applyBorder="1"/>
    <xf numFmtId="0" fontId="0" fillId="0" borderId="4" xfId="0" applyBorder="1"/>
    <xf numFmtId="0" fontId="20" fillId="0" borderId="4" xfId="0" applyFont="1" applyFill="1" applyBorder="1" applyAlignment="1">
      <alignment horizontal="left"/>
    </xf>
    <xf numFmtId="2" fontId="20" fillId="0" borderId="0" xfId="0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2" fillId="0" borderId="16" xfId="0" applyFont="1" applyFill="1" applyBorder="1"/>
    <xf numFmtId="1" fontId="2" fillId="0" borderId="8" xfId="0" applyNumberFormat="1" applyFont="1" applyFill="1" applyBorder="1"/>
    <xf numFmtId="0" fontId="2" fillId="0" borderId="8" xfId="0" applyFont="1" applyFill="1" applyBorder="1"/>
    <xf numFmtId="0" fontId="2" fillId="0" borderId="17" xfId="0" applyFont="1" applyFill="1" applyBorder="1"/>
    <xf numFmtId="0" fontId="20" fillId="0" borderId="17" xfId="0" applyFont="1" applyFill="1" applyBorder="1"/>
    <xf numFmtId="2" fontId="20" fillId="0" borderId="16" xfId="0" applyNumberFormat="1" applyFont="1" applyFill="1" applyBorder="1"/>
    <xf numFmtId="2" fontId="20" fillId="0" borderId="8" xfId="0" applyNumberFormat="1" applyFont="1" applyFill="1" applyBorder="1"/>
    <xf numFmtId="2" fontId="20" fillId="0" borderId="17" xfId="0" applyNumberFormat="1" applyFont="1" applyFill="1" applyBorder="1"/>
    <xf numFmtId="2" fontId="20" fillId="0" borderId="18" xfId="0" applyNumberFormat="1" applyFont="1" applyFill="1" applyBorder="1"/>
    <xf numFmtId="2" fontId="20" fillId="0" borderId="19" xfId="0" applyNumberFormat="1" applyFont="1" applyFill="1" applyBorder="1"/>
    <xf numFmtId="0" fontId="20" fillId="0" borderId="0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20" fillId="0" borderId="8" xfId="0" applyFont="1" applyFill="1" applyBorder="1"/>
    <xf numFmtId="2" fontId="2" fillId="0" borderId="8" xfId="0" applyNumberFormat="1" applyFont="1" applyFill="1" applyBorder="1"/>
    <xf numFmtId="0" fontId="20" fillId="0" borderId="22" xfId="0" applyFont="1" applyBorder="1"/>
    <xf numFmtId="0" fontId="9" fillId="0" borderId="0" xfId="0" applyFont="1"/>
    <xf numFmtId="0" fontId="28" fillId="0" borderId="0" xfId="0" applyFont="1"/>
    <xf numFmtId="0" fontId="9" fillId="0" borderId="0" xfId="0" applyFont="1" applyFill="1" applyBorder="1" applyAlignment="1">
      <alignment horizontal="left"/>
    </xf>
    <xf numFmtId="0" fontId="20" fillId="0" borderId="7" xfId="0" applyFont="1" applyBorder="1"/>
    <xf numFmtId="0" fontId="26" fillId="0" borderId="1" xfId="0" applyFont="1" applyFill="1" applyBorder="1"/>
    <xf numFmtId="0" fontId="9" fillId="0" borderId="0" xfId="0" applyFont="1" applyAlignment="1"/>
    <xf numFmtId="0" fontId="20" fillId="0" borderId="14" xfId="0" applyFont="1" applyFill="1" applyBorder="1"/>
    <xf numFmtId="0" fontId="20" fillId="0" borderId="14" xfId="0" applyFont="1" applyBorder="1"/>
    <xf numFmtId="0" fontId="25" fillId="0" borderId="0" xfId="0" applyFont="1" applyAlignment="1">
      <alignment horizontal="center"/>
    </xf>
    <xf numFmtId="165" fontId="21" fillId="0" borderId="0" xfId="0" applyNumberFormat="1" applyFont="1" applyBorder="1"/>
    <xf numFmtId="0" fontId="29" fillId="0" borderId="0" xfId="0" applyFont="1" applyAlignment="1">
      <alignment vertical="center" textRotation="90"/>
    </xf>
    <xf numFmtId="0" fontId="20" fillId="0" borderId="0" xfId="0" applyFont="1" applyFill="1" applyBorder="1" applyAlignment="1"/>
    <xf numFmtId="0" fontId="21" fillId="0" borderId="3" xfId="0" applyFont="1" applyFill="1" applyBorder="1"/>
    <xf numFmtId="0" fontId="2" fillId="0" borderId="3" xfId="0" applyFont="1" applyFill="1" applyBorder="1"/>
    <xf numFmtId="0" fontId="0" fillId="0" borderId="12" xfId="0" applyBorder="1"/>
    <xf numFmtId="0" fontId="0" fillId="0" borderId="23" xfId="0" applyBorder="1"/>
    <xf numFmtId="0" fontId="0" fillId="0" borderId="24" xfId="0" applyBorder="1"/>
    <xf numFmtId="0" fontId="20" fillId="0" borderId="24" xfId="0" applyFont="1" applyFill="1" applyBorder="1"/>
    <xf numFmtId="0" fontId="21" fillId="0" borderId="24" xfId="0" applyFont="1" applyFill="1" applyBorder="1"/>
    <xf numFmtId="0" fontId="20" fillId="0" borderId="25" xfId="0" applyFont="1" applyFill="1" applyBorder="1"/>
    <xf numFmtId="0" fontId="21" fillId="0" borderId="12" xfId="0" applyFont="1" applyFill="1" applyBorder="1"/>
    <xf numFmtId="0" fontId="25" fillId="0" borderId="0" xfId="0" applyFont="1" applyAlignment="1">
      <alignment horizontal="left"/>
    </xf>
    <xf numFmtId="0" fontId="21" fillId="0" borderId="0" xfId="0" applyFont="1" applyFill="1" applyBorder="1" applyAlignment="1"/>
    <xf numFmtId="2" fontId="21" fillId="0" borderId="0" xfId="0" applyNumberFormat="1" applyFont="1" applyFill="1" applyBorder="1" applyAlignment="1"/>
    <xf numFmtId="0" fontId="30" fillId="0" borderId="0" xfId="0" applyFont="1"/>
    <xf numFmtId="0" fontId="20" fillId="0" borderId="15" xfId="0" applyFont="1" applyFill="1" applyBorder="1"/>
    <xf numFmtId="0" fontId="31" fillId="0" borderId="0" xfId="0" applyFont="1" applyBorder="1" applyAlignment="1">
      <alignment vertical="center"/>
    </xf>
    <xf numFmtId="0" fontId="20" fillId="0" borderId="0" xfId="0" applyFont="1" applyBorder="1" applyAlignment="1"/>
    <xf numFmtId="0" fontId="20" fillId="0" borderId="17" xfId="0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26" xfId="0" quotePrefix="1" applyFont="1" applyBorder="1" applyAlignment="1">
      <alignment horizontal="left"/>
    </xf>
    <xf numFmtId="0" fontId="20" fillId="0" borderId="0" xfId="0" quotePrefix="1" applyFont="1" applyBorder="1" applyAlignment="1">
      <alignment horizontal="right"/>
    </xf>
    <xf numFmtId="2" fontId="20" fillId="0" borderId="0" xfId="0" applyNumberFormat="1" applyFont="1" applyBorder="1"/>
    <xf numFmtId="0" fontId="10" fillId="0" borderId="0" xfId="0" applyFont="1" applyFill="1" applyBorder="1"/>
    <xf numFmtId="0" fontId="2" fillId="0" borderId="0" xfId="0" applyFont="1" applyFill="1" applyBorder="1" applyAlignment="1" applyProtection="1">
      <alignment horizontal="left"/>
    </xf>
    <xf numFmtId="2" fontId="20" fillId="0" borderId="4" xfId="0" applyNumberFormat="1" applyFont="1" applyFill="1" applyBorder="1" applyAlignment="1"/>
    <xf numFmtId="0" fontId="32" fillId="0" borderId="1" xfId="0" applyFont="1" applyBorder="1" applyAlignment="1"/>
    <xf numFmtId="0" fontId="32" fillId="0" borderId="0" xfId="0" applyFont="1" applyBorder="1" applyAlignment="1"/>
    <xf numFmtId="0" fontId="32" fillId="0" borderId="0" xfId="0" applyFont="1" applyAlignment="1"/>
    <xf numFmtId="0" fontId="25" fillId="0" borderId="0" xfId="0" applyFont="1" applyFill="1" applyBorder="1"/>
    <xf numFmtId="2" fontId="20" fillId="0" borderId="0" xfId="0" applyNumberFormat="1" applyFont="1" applyFill="1" applyBorder="1" applyAlignment="1">
      <alignment horizontal="right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0" fontId="31" fillId="0" borderId="1" xfId="0" applyFont="1" applyFill="1" applyBorder="1"/>
    <xf numFmtId="0" fontId="33" fillId="0" borderId="0" xfId="0" applyFont="1" applyFill="1" applyBorder="1"/>
    <xf numFmtId="0" fontId="33" fillId="0" borderId="0" xfId="0" applyFont="1" applyFill="1" applyBorder="1" applyProtection="1"/>
    <xf numFmtId="0" fontId="23" fillId="0" borderId="1" xfId="0" applyFont="1" applyFill="1" applyBorder="1"/>
    <xf numFmtId="0" fontId="23" fillId="0" borderId="1" xfId="0" applyFont="1" applyBorder="1"/>
    <xf numFmtId="0" fontId="23" fillId="0" borderId="0" xfId="0" applyFont="1" applyBorder="1"/>
    <xf numFmtId="164" fontId="20" fillId="0" borderId="0" xfId="0" applyNumberFormat="1" applyFont="1" applyFill="1" applyBorder="1" applyAlignment="1">
      <alignment horizontal="left"/>
    </xf>
    <xf numFmtId="0" fontId="33" fillId="0" borderId="0" xfId="0" applyFont="1"/>
    <xf numFmtId="0" fontId="21" fillId="0" borderId="1" xfId="0" applyFont="1" applyBorder="1" applyAlignment="1"/>
    <xf numFmtId="0" fontId="21" fillId="0" borderId="0" xfId="0" applyFont="1" applyBorder="1" applyAlignment="1"/>
    <xf numFmtId="0" fontId="21" fillId="0" borderId="27" xfId="0" applyFont="1" applyBorder="1" applyAlignment="1"/>
    <xf numFmtId="0" fontId="21" fillId="0" borderId="22" xfId="0" applyFont="1" applyBorder="1" applyAlignment="1"/>
    <xf numFmtId="0" fontId="21" fillId="0" borderId="28" xfId="0" applyFont="1" applyBorder="1" applyAlignment="1">
      <alignment horizontal="left"/>
    </xf>
    <xf numFmtId="0" fontId="20" fillId="0" borderId="29" xfId="0" applyFont="1" applyFill="1" applyBorder="1"/>
    <xf numFmtId="2" fontId="20" fillId="0" borderId="4" xfId="0" applyNumberFormat="1" applyFont="1" applyFill="1" applyBorder="1" applyAlignment="1">
      <alignment horizontal="right"/>
    </xf>
    <xf numFmtId="2" fontId="20" fillId="0" borderId="5" xfId="0" applyNumberFormat="1" applyFont="1" applyFill="1" applyBorder="1" applyAlignment="1">
      <alignment horizontal="right"/>
    </xf>
    <xf numFmtId="0" fontId="21" fillId="0" borderId="30" xfId="0" applyFont="1" applyBorder="1" applyAlignment="1"/>
    <xf numFmtId="0" fontId="21" fillId="0" borderId="31" xfId="0" applyFont="1" applyBorder="1"/>
    <xf numFmtId="2" fontId="2" fillId="0" borderId="4" xfId="0" applyNumberFormat="1" applyFont="1" applyFill="1" applyBorder="1"/>
    <xf numFmtId="2" fontId="20" fillId="0" borderId="4" xfId="0" applyNumberFormat="1" applyFont="1" applyFill="1" applyBorder="1"/>
    <xf numFmtId="0" fontId="20" fillId="0" borderId="34" xfId="0" applyFont="1" applyBorder="1" applyAlignment="1">
      <alignment horizontal="left"/>
    </xf>
    <xf numFmtId="2" fontId="20" fillId="0" borderId="25" xfId="0" applyNumberFormat="1" applyFont="1" applyFill="1" applyBorder="1" applyAlignment="1">
      <alignment horizontal="right"/>
    </xf>
    <xf numFmtId="2" fontId="20" fillId="0" borderId="35" xfId="0" applyNumberFormat="1" applyFont="1" applyFill="1" applyBorder="1"/>
    <xf numFmtId="0" fontId="0" fillId="0" borderId="0" xfId="0"/>
    <xf numFmtId="0" fontId="0" fillId="0" borderId="0" xfId="0"/>
    <xf numFmtId="0" fontId="34" fillId="0" borderId="0" xfId="0" applyFont="1" applyBorder="1"/>
    <xf numFmtId="0" fontId="35" fillId="0" borderId="0" xfId="0" applyFont="1"/>
    <xf numFmtId="0" fontId="36" fillId="0" borderId="0" xfId="0" applyFont="1"/>
    <xf numFmtId="0" fontId="32" fillId="0" borderId="36" xfId="0" applyFont="1" applyBorder="1"/>
    <xf numFmtId="0" fontId="20" fillId="0" borderId="36" xfId="0" applyFont="1" applyBorder="1"/>
    <xf numFmtId="0" fontId="0" fillId="0" borderId="36" xfId="0" applyBorder="1"/>
    <xf numFmtId="0" fontId="37" fillId="0" borderId="0" xfId="0" applyFont="1"/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0" fillId="0" borderId="0" xfId="0"/>
    <xf numFmtId="0" fontId="20" fillId="0" borderId="0" xfId="0" applyFont="1" applyBorder="1" applyAlignment="1">
      <alignment horizontal="left"/>
    </xf>
    <xf numFmtId="0" fontId="0" fillId="0" borderId="0" xfId="0"/>
    <xf numFmtId="0" fontId="20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25" fillId="0" borderId="0" xfId="0" applyFont="1" applyAlignment="1">
      <alignment horizontal="left"/>
    </xf>
    <xf numFmtId="0" fontId="21" fillId="0" borderId="0" xfId="0" applyFont="1" applyBorder="1" applyAlignment="1">
      <alignment horizontal="center"/>
    </xf>
    <xf numFmtId="0" fontId="32" fillId="0" borderId="37" xfId="0" applyFont="1" applyBorder="1"/>
    <xf numFmtId="0" fontId="20" fillId="0" borderId="38" xfId="0" applyFont="1" applyBorder="1"/>
    <xf numFmtId="0" fontId="20" fillId="0" borderId="0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/>
    </xf>
    <xf numFmtId="0" fontId="20" fillId="0" borderId="14" xfId="0" applyFont="1" applyBorder="1" applyAlignment="1">
      <alignment vertical="center"/>
    </xf>
    <xf numFmtId="0" fontId="20" fillId="0" borderId="8" xfId="0" applyFont="1" applyFill="1" applyBorder="1" applyAlignment="1">
      <alignment vertical="center"/>
    </xf>
    <xf numFmtId="0" fontId="0" fillId="0" borderId="0" xfId="0"/>
    <xf numFmtId="0" fontId="0" fillId="0" borderId="0" xfId="0" applyAlignment="1"/>
    <xf numFmtId="2" fontId="0" fillId="0" borderId="0" xfId="0" applyNumberFormat="1"/>
    <xf numFmtId="2" fontId="20" fillId="0" borderId="0" xfId="0" applyNumberFormat="1" applyFont="1"/>
    <xf numFmtId="0" fontId="38" fillId="0" borderId="0" xfId="0" applyFont="1"/>
    <xf numFmtId="0" fontId="20" fillId="0" borderId="0" xfId="0" applyFont="1" applyAlignment="1">
      <alignment horizontal="left" vertical="center"/>
    </xf>
    <xf numFmtId="0" fontId="0" fillId="0" borderId="0" xfId="0"/>
    <xf numFmtId="0" fontId="20" fillId="0" borderId="0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" fillId="0" borderId="0" xfId="0" applyFont="1" applyFill="1" applyBorder="1"/>
    <xf numFmtId="164" fontId="20" fillId="0" borderId="8" xfId="0" applyNumberFormat="1" applyFont="1" applyFill="1" applyBorder="1"/>
    <xf numFmtId="165" fontId="20" fillId="0" borderId="40" xfId="0" applyNumberFormat="1" applyFont="1" applyBorder="1"/>
    <xf numFmtId="165" fontId="20" fillId="0" borderId="19" xfId="0" applyNumberFormat="1" applyFont="1" applyFill="1" applyBorder="1" applyAlignment="1"/>
    <xf numFmtId="165" fontId="2" fillId="0" borderId="4" xfId="0" applyNumberFormat="1" applyFont="1" applyFill="1" applyBorder="1"/>
    <xf numFmtId="165" fontId="20" fillId="0" borderId="32" xfId="0" applyNumberFormat="1" applyFont="1" applyFill="1" applyBorder="1" applyAlignment="1">
      <alignment horizontal="right"/>
    </xf>
    <xf numFmtId="165" fontId="20" fillId="0" borderId="4" xfId="0" applyNumberFormat="1" applyFont="1" applyFill="1" applyBorder="1" applyAlignment="1">
      <alignment horizontal="right"/>
    </xf>
    <xf numFmtId="165" fontId="20" fillId="0" borderId="4" xfId="0" applyNumberFormat="1" applyFont="1" applyFill="1" applyBorder="1"/>
    <xf numFmtId="0" fontId="39" fillId="0" borderId="1" xfId="0" applyFont="1" applyBorder="1"/>
    <xf numFmtId="0" fontId="20" fillId="0" borderId="0" xfId="0" applyFont="1" applyBorder="1" applyAlignment="1">
      <alignment horizontal="right"/>
    </xf>
    <xf numFmtId="0" fontId="26" fillId="0" borderId="41" xfId="0" applyFont="1" applyFill="1" applyBorder="1"/>
    <xf numFmtId="0" fontId="2" fillId="0" borderId="42" xfId="0" applyFont="1" applyFill="1" applyBorder="1"/>
    <xf numFmtId="0" fontId="20" fillId="0" borderId="43" xfId="0" applyFont="1" applyBorder="1"/>
    <xf numFmtId="0" fontId="20" fillId="0" borderId="44" xfId="0" applyFont="1" applyBorder="1"/>
    <xf numFmtId="0" fontId="20" fillId="0" borderId="45" xfId="0" applyFont="1" applyFill="1" applyBorder="1"/>
    <xf numFmtId="0" fontId="2" fillId="0" borderId="34" xfId="0" applyFont="1" applyFill="1" applyBorder="1"/>
    <xf numFmtId="0" fontId="20" fillId="0" borderId="47" xfId="0" applyFont="1" applyFill="1" applyBorder="1"/>
    <xf numFmtId="0" fontId="26" fillId="0" borderId="41" xfId="0" applyFont="1" applyBorder="1"/>
    <xf numFmtId="0" fontId="20" fillId="0" borderId="42" xfId="0" applyFont="1" applyBorder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vertical="center"/>
    </xf>
    <xf numFmtId="1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1" fontId="2" fillId="0" borderId="8" xfId="0" applyNumberFormat="1" applyFont="1" applyFill="1" applyBorder="1" applyAlignment="1"/>
    <xf numFmtId="0" fontId="2" fillId="0" borderId="8" xfId="0" applyFont="1" applyFill="1" applyBorder="1" applyAlignment="1"/>
    <xf numFmtId="0" fontId="2" fillId="0" borderId="17" xfId="0" applyFont="1" applyFill="1" applyBorder="1" applyAlignment="1"/>
    <xf numFmtId="0" fontId="20" fillId="0" borderId="2" xfId="0" applyFont="1" applyFill="1" applyBorder="1" applyAlignment="1"/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/>
    </xf>
    <xf numFmtId="0" fontId="40" fillId="0" borderId="1" xfId="0" applyFont="1" applyFill="1" applyBorder="1"/>
    <xf numFmtId="0" fontId="40" fillId="0" borderId="0" xfId="0" applyFont="1" applyFill="1" applyBorder="1"/>
    <xf numFmtId="0" fontId="41" fillId="0" borderId="0" xfId="0" applyFont="1" applyBorder="1"/>
    <xf numFmtId="0" fontId="40" fillId="0" borderId="0" xfId="0" applyFont="1" applyBorder="1"/>
    <xf numFmtId="0" fontId="40" fillId="0" borderId="0" xfId="0" applyFont="1" applyBorder="1" applyAlignment="1">
      <alignment horizontal="right"/>
    </xf>
    <xf numFmtId="0" fontId="40" fillId="0" borderId="0" xfId="0" applyFont="1" applyFill="1" applyBorder="1" applyAlignment="1">
      <alignment horizontal="right" vertical="center"/>
    </xf>
    <xf numFmtId="0" fontId="40" fillId="0" borderId="6" xfId="0" applyFont="1" applyFill="1" applyBorder="1"/>
    <xf numFmtId="0" fontId="41" fillId="0" borderId="1" xfId="0" applyFont="1" applyBorder="1"/>
    <xf numFmtId="0" fontId="40" fillId="0" borderId="1" xfId="0" applyFont="1" applyBorder="1"/>
    <xf numFmtId="0" fontId="40" fillId="0" borderId="12" xfId="0" applyFont="1" applyBorder="1"/>
    <xf numFmtId="0" fontId="40" fillId="0" borderId="12" xfId="0" applyFont="1" applyFill="1" applyBorder="1"/>
    <xf numFmtId="0" fontId="40" fillId="0" borderId="0" xfId="0" applyFont="1" applyAlignment="1">
      <alignment horizontal="right"/>
    </xf>
    <xf numFmtId="0" fontId="40" fillId="0" borderId="0" xfId="0" applyFont="1" applyFill="1" applyBorder="1" applyAlignment="1">
      <alignment horizontal="right"/>
    </xf>
    <xf numFmtId="0" fontId="42" fillId="0" borderId="1" xfId="0" applyFont="1" applyBorder="1"/>
    <xf numFmtId="0" fontId="43" fillId="0" borderId="12" xfId="0" applyFont="1" applyFill="1" applyBorder="1"/>
    <xf numFmtId="0" fontId="43" fillId="0" borderId="1" xfId="0" applyFont="1" applyFill="1" applyBorder="1"/>
    <xf numFmtId="0" fontId="40" fillId="0" borderId="20" xfId="0" applyFont="1" applyBorder="1"/>
    <xf numFmtId="0" fontId="40" fillId="0" borderId="20" xfId="0" applyFont="1" applyFill="1" applyBorder="1"/>
    <xf numFmtId="0" fontId="43" fillId="0" borderId="20" xfId="0" applyFont="1" applyBorder="1"/>
    <xf numFmtId="0" fontId="43" fillId="0" borderId="21" xfId="0" applyFont="1" applyBorder="1"/>
    <xf numFmtId="0" fontId="40" fillId="0" borderId="8" xfId="0" applyFont="1" applyFill="1" applyBorder="1"/>
    <xf numFmtId="0" fontId="43" fillId="0" borderId="8" xfId="0" applyFont="1" applyFill="1" applyBorder="1"/>
    <xf numFmtId="0" fontId="43" fillId="0" borderId="17" xfId="0" applyFont="1" applyFill="1" applyBorder="1"/>
    <xf numFmtId="0" fontId="40" fillId="0" borderId="13" xfId="0" applyFont="1" applyFill="1" applyBorder="1"/>
    <xf numFmtId="0" fontId="40" fillId="0" borderId="14" xfId="0" applyFont="1" applyFill="1" applyBorder="1"/>
    <xf numFmtId="0" fontId="41" fillId="0" borderId="14" xfId="0" applyFont="1" applyBorder="1"/>
    <xf numFmtId="0" fontId="40" fillId="0" borderId="14" xfId="0" applyFont="1" applyBorder="1"/>
    <xf numFmtId="0" fontId="40" fillId="0" borderId="46" xfId="0" applyFont="1" applyBorder="1"/>
    <xf numFmtId="0" fontId="40" fillId="0" borderId="46" xfId="0" applyFont="1" applyFill="1" applyBorder="1"/>
    <xf numFmtId="0" fontId="43" fillId="0" borderId="14" xfId="0" applyFont="1" applyFill="1" applyBorder="1"/>
    <xf numFmtId="0" fontId="43" fillId="0" borderId="15" xfId="0" applyFont="1" applyFill="1" applyBorder="1"/>
    <xf numFmtId="0" fontId="40" fillId="0" borderId="21" xfId="0" applyFont="1" applyBorder="1"/>
    <xf numFmtId="0" fontId="40" fillId="0" borderId="17" xfId="0" applyFont="1" applyFill="1" applyBorder="1"/>
    <xf numFmtId="0" fontId="40" fillId="0" borderId="39" xfId="0" applyFont="1" applyBorder="1" applyAlignment="1">
      <alignment horizontal="left"/>
    </xf>
    <xf numFmtId="0" fontId="40" fillId="0" borderId="29" xfId="0" applyFont="1" applyFill="1" applyBorder="1"/>
    <xf numFmtId="0" fontId="40" fillId="0" borderId="29" xfId="0" applyFont="1" applyBorder="1"/>
    <xf numFmtId="0" fontId="40" fillId="0" borderId="0" xfId="0" applyFont="1" applyBorder="1" applyAlignment="1">
      <alignment horizontal="left"/>
    </xf>
    <xf numFmtId="0" fontId="40" fillId="0" borderId="24" xfId="0" applyFont="1" applyBorder="1" applyAlignment="1">
      <alignment horizontal="left"/>
    </xf>
    <xf numFmtId="0" fontId="40" fillId="0" borderId="33" xfId="0" applyFont="1" applyFill="1" applyBorder="1" applyAlignment="1">
      <alignment horizontal="left"/>
    </xf>
    <xf numFmtId="0" fontId="40" fillId="0" borderId="2" xfId="0" applyFont="1" applyBorder="1" applyAlignment="1">
      <alignment horizontal="left"/>
    </xf>
    <xf numFmtId="0" fontId="0" fillId="0" borderId="0" xfId="0" applyFont="1"/>
    <xf numFmtId="0" fontId="40" fillId="0" borderId="0" xfId="0" applyFont="1"/>
    <xf numFmtId="0" fontId="43" fillId="0" borderId="0" xfId="0" applyFont="1"/>
    <xf numFmtId="0" fontId="47" fillId="0" borderId="0" xfId="0" applyFont="1"/>
    <xf numFmtId="0" fontId="40" fillId="0" borderId="0" xfId="0" applyFont="1" applyAlignment="1">
      <alignment vertical="center"/>
    </xf>
    <xf numFmtId="0" fontId="49" fillId="0" borderId="0" xfId="0" applyFont="1"/>
    <xf numFmtId="0" fontId="50" fillId="0" borderId="0" xfId="0" applyFont="1"/>
    <xf numFmtId="0" fontId="2" fillId="0" borderId="0" xfId="0" applyFont="1"/>
    <xf numFmtId="0" fontId="2" fillId="0" borderId="0" xfId="0" applyFont="1" applyAlignment="1"/>
    <xf numFmtId="0" fontId="20" fillId="0" borderId="0" xfId="0" applyFont="1" applyBorder="1" applyAlignment="1">
      <alignment horizontal="left" vertical="center"/>
    </xf>
    <xf numFmtId="0" fontId="40" fillId="0" borderId="0" xfId="0" applyFont="1" applyAlignment="1">
      <alignment horizontal="center"/>
    </xf>
    <xf numFmtId="0" fontId="40" fillId="0" borderId="0" xfId="0" applyFont="1" applyBorder="1" applyAlignment="1"/>
    <xf numFmtId="0" fontId="47" fillId="0" borderId="0" xfId="0" applyFont="1" applyBorder="1"/>
    <xf numFmtId="0" fontId="21" fillId="0" borderId="37" xfId="0" applyFont="1" applyBorder="1"/>
    <xf numFmtId="0" fontId="44" fillId="0" borderId="0" xfId="0" applyFont="1"/>
    <xf numFmtId="165" fontId="2" fillId="0" borderId="19" xfId="0" applyNumberFormat="1" applyFont="1" applyFill="1" applyBorder="1"/>
    <xf numFmtId="0" fontId="20" fillId="0" borderId="8" xfId="0" applyFont="1" applyBorder="1" applyAlignment="1">
      <alignment horizontal="left" vertical="center"/>
    </xf>
    <xf numFmtId="0" fontId="20" fillId="0" borderId="10" xfId="0" applyFont="1" applyBorder="1" applyAlignment="1">
      <alignment horizontal="left"/>
    </xf>
    <xf numFmtId="2" fontId="20" fillId="0" borderId="11" xfId="0" applyNumberFormat="1" applyFont="1" applyFill="1" applyBorder="1" applyAlignment="1">
      <alignment horizontal="right"/>
    </xf>
    <xf numFmtId="0" fontId="52" fillId="0" borderId="10" xfId="0" applyFont="1" applyBorder="1" applyAlignment="1">
      <alignment horizontal="left"/>
    </xf>
    <xf numFmtId="0" fontId="53" fillId="0" borderId="10" xfId="0" applyFont="1" applyBorder="1" applyAlignment="1">
      <alignment horizontal="left"/>
    </xf>
    <xf numFmtId="0" fontId="17" fillId="0" borderId="0" xfId="0" applyFont="1" applyAlignment="1">
      <alignment vertical="center"/>
    </xf>
    <xf numFmtId="0" fontId="0" fillId="0" borderId="0" xfId="0" applyBorder="1"/>
    <xf numFmtId="0" fontId="20" fillId="0" borderId="0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1" fillId="0" borderId="9" xfId="0" applyFont="1" applyFill="1" applyBorder="1"/>
    <xf numFmtId="0" fontId="21" fillId="0" borderId="55" xfId="0" applyFont="1" applyBorder="1"/>
    <xf numFmtId="0" fontId="21" fillId="0" borderId="9" xfId="0" applyFont="1" applyBorder="1" applyAlignment="1">
      <alignment horizontal="left"/>
    </xf>
    <xf numFmtId="0" fontId="44" fillId="0" borderId="48" xfId="0" applyFont="1" applyBorder="1" applyAlignment="1">
      <alignment horizontal="center" vertical="center" textRotation="90"/>
    </xf>
    <xf numFmtId="0" fontId="45" fillId="0" borderId="20" xfId="0" applyFont="1" applyBorder="1" applyAlignment="1">
      <alignment horizontal="center" vertical="center" textRotation="90"/>
    </xf>
    <xf numFmtId="0" fontId="45" fillId="0" borderId="49" xfId="0" applyFont="1" applyBorder="1" applyAlignment="1">
      <alignment horizontal="center" vertical="center" textRotation="90"/>
    </xf>
    <xf numFmtId="2" fontId="21" fillId="0" borderId="1" xfId="0" applyNumberFormat="1" applyFont="1" applyFill="1" applyBorder="1" applyAlignment="1">
      <alignment horizontal="center"/>
    </xf>
    <xf numFmtId="2" fontId="21" fillId="0" borderId="0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0" fillId="0" borderId="0" xfId="0" applyBorder="1"/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44" fillId="0" borderId="20" xfId="0" applyFont="1" applyBorder="1" applyAlignment="1">
      <alignment horizontal="center" vertical="center" textRotation="90"/>
    </xf>
    <xf numFmtId="0" fontId="44" fillId="0" borderId="49" xfId="0" applyFont="1" applyBorder="1" applyAlignment="1">
      <alignment horizontal="center" vertical="center" textRotation="90"/>
    </xf>
    <xf numFmtId="0" fontId="32" fillId="0" borderId="1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2" fontId="20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0" xfId="0" applyFont="1" applyAlignment="1">
      <alignment horizontal="left"/>
    </xf>
    <xf numFmtId="2" fontId="0" fillId="0" borderId="0" xfId="0" applyNumberForma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1" xfId="0" applyFont="1" applyBorder="1" applyAlignment="1">
      <alignment horizontal="left"/>
    </xf>
    <xf numFmtId="0" fontId="21" fillId="0" borderId="29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0" fontId="20" fillId="0" borderId="29" xfId="0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0" fontId="32" fillId="0" borderId="50" xfId="0" applyFont="1" applyBorder="1" applyAlignment="1">
      <alignment horizontal="left"/>
    </xf>
    <xf numFmtId="0" fontId="32" fillId="0" borderId="33" xfId="0" applyFont="1" applyBorder="1" applyAlignment="1">
      <alignment horizontal="left"/>
    </xf>
    <xf numFmtId="0" fontId="20" fillId="0" borderId="26" xfId="0" applyFont="1" applyBorder="1" applyAlignment="1">
      <alignment horizontal="left"/>
    </xf>
    <xf numFmtId="0" fontId="21" fillId="0" borderId="29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0" borderId="46" xfId="0" applyFont="1" applyBorder="1" applyAlignment="1">
      <alignment horizontal="left"/>
    </xf>
    <xf numFmtId="0" fontId="20" fillId="0" borderId="24" xfId="0" applyFont="1" applyBorder="1" applyAlignment="1">
      <alignment horizontal="left"/>
    </xf>
    <xf numFmtId="0" fontId="20" fillId="0" borderId="47" xfId="0" applyFont="1" applyBorder="1" applyAlignment="1">
      <alignment horizontal="left"/>
    </xf>
    <xf numFmtId="0" fontId="20" fillId="0" borderId="51" xfId="0" applyFont="1" applyBorder="1" applyAlignment="1">
      <alignment horizontal="left"/>
    </xf>
    <xf numFmtId="0" fontId="20" fillId="0" borderId="33" xfId="0" applyFont="1" applyBorder="1" applyAlignment="1">
      <alignment horizontal="left"/>
    </xf>
    <xf numFmtId="0" fontId="20" fillId="0" borderId="39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0" borderId="2" xfId="0" applyFont="1" applyBorder="1" applyAlignment="1">
      <alignment horizontal="left"/>
    </xf>
    <xf numFmtId="0" fontId="20" fillId="0" borderId="15" xfId="0" applyFont="1" applyBorder="1" applyAlignment="1">
      <alignment horizontal="left"/>
    </xf>
    <xf numFmtId="0" fontId="20" fillId="0" borderId="52" xfId="0" applyFont="1" applyBorder="1" applyAlignment="1">
      <alignment horizontal="left"/>
    </xf>
  </cellXfs>
  <cellStyles count="1">
    <cellStyle name="Standaard" xfId="0" builtinId="0"/>
  </cellStyles>
  <dxfs count="6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w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wmf"/><Relationship Id="rId1" Type="http://schemas.openxmlformats.org/officeDocument/2006/relationships/image" Target="../media/image2.wmf"/><Relationship Id="rId6" Type="http://schemas.openxmlformats.org/officeDocument/2006/relationships/image" Target="../media/image10.wmf"/><Relationship Id="rId5" Type="http://schemas.openxmlformats.org/officeDocument/2006/relationships/image" Target="../media/image9.wmf"/><Relationship Id="rId4" Type="http://schemas.openxmlformats.org/officeDocument/2006/relationships/image" Target="../media/image8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2</xdr:row>
      <xdr:rowOff>9525</xdr:rowOff>
    </xdr:from>
    <xdr:to>
      <xdr:col>13</xdr:col>
      <xdr:colOff>0</xdr:colOff>
      <xdr:row>12</xdr:row>
      <xdr:rowOff>161925</xdr:rowOff>
    </xdr:to>
    <xdr:pic>
      <xdr:nvPicPr>
        <xdr:cNvPr id="2270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72100" y="447675"/>
          <a:ext cx="2047875" cy="2419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457200</xdr:colOff>
      <xdr:row>16</xdr:row>
      <xdr:rowOff>28575</xdr:rowOff>
    </xdr:from>
    <xdr:to>
      <xdr:col>6</xdr:col>
      <xdr:colOff>457200</xdr:colOff>
      <xdr:row>23</xdr:row>
      <xdr:rowOff>142875</xdr:rowOff>
    </xdr:to>
    <xdr:pic>
      <xdr:nvPicPr>
        <xdr:cNvPr id="1103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440" t="23714" r="31548" b="18668"/>
        <a:stretch>
          <a:fillRect/>
        </a:stretch>
      </xdr:blipFill>
      <xdr:spPr bwMode="auto">
        <a:xfrm>
          <a:off x="3028950" y="3762375"/>
          <a:ext cx="1666875" cy="16668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.bin"/><Relationship Id="rId3" Type="http://schemas.openxmlformats.org/officeDocument/2006/relationships/oleObject" Target="../embeddings/oleObject4.bin"/><Relationship Id="rId7" Type="http://schemas.openxmlformats.org/officeDocument/2006/relationships/oleObject" Target="../embeddings/oleObject8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7.bin"/><Relationship Id="rId5" Type="http://schemas.openxmlformats.org/officeDocument/2006/relationships/oleObject" Target="../embeddings/oleObject6.bin"/><Relationship Id="rId4" Type="http://schemas.openxmlformats.org/officeDocument/2006/relationships/oleObject" Target="../embeddings/oleObject5.bin"/><Relationship Id="rId9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9"/>
  <sheetViews>
    <sheetView tabSelected="1" topLeftCell="A25" zoomScaleNormal="100" workbookViewId="0">
      <selection activeCell="B32" sqref="B32"/>
    </sheetView>
  </sheetViews>
  <sheetFormatPr defaultRowHeight="15"/>
  <cols>
    <col min="1" max="1" width="10.7109375" customWidth="1"/>
    <col min="2" max="2" width="12" customWidth="1"/>
    <col min="3" max="3" width="8.5703125" customWidth="1"/>
    <col min="4" max="4" width="3.7109375" customWidth="1"/>
    <col min="5" max="5" width="9.140625" customWidth="1"/>
    <col min="6" max="6" width="8.28515625" customWidth="1"/>
    <col min="7" max="7" width="7.85546875" customWidth="1"/>
    <col min="8" max="8" width="7.5703125" customWidth="1"/>
    <col min="9" max="9" width="11.28515625" customWidth="1"/>
    <col min="10" max="10" width="4.7109375" bestFit="1" customWidth="1"/>
  </cols>
  <sheetData>
    <row r="1" spans="1:15" ht="26.25">
      <c r="A1" s="268" t="s">
        <v>98</v>
      </c>
      <c r="C1" s="173"/>
    </row>
    <row r="2" spans="1:15" ht="14.25" customHeight="1" thickBot="1"/>
    <row r="3" spans="1:15" ht="18.75" customHeight="1">
      <c r="A3" s="23" t="s">
        <v>6</v>
      </c>
      <c r="B3" s="13"/>
      <c r="C3" s="13"/>
      <c r="D3" s="4"/>
      <c r="E3" s="45"/>
      <c r="F3" s="45"/>
      <c r="G3" s="89" t="s">
        <v>11</v>
      </c>
      <c r="H3" s="90"/>
      <c r="I3" s="13"/>
      <c r="J3" s="4"/>
      <c r="K3" s="45"/>
      <c r="L3" s="45"/>
      <c r="M3" s="56"/>
      <c r="N3" s="282" t="s">
        <v>19</v>
      </c>
    </row>
    <row r="4" spans="1:15" ht="18.75" customHeight="1">
      <c r="A4" s="214" t="s">
        <v>4</v>
      </c>
      <c r="B4" s="12">
        <v>100</v>
      </c>
      <c r="C4" s="6" t="s">
        <v>3</v>
      </c>
      <c r="D4" s="6"/>
      <c r="E4" s="2"/>
      <c r="F4" s="2"/>
      <c r="G4" s="215" t="s">
        <v>12</v>
      </c>
      <c r="H4" s="183">
        <v>210000</v>
      </c>
      <c r="I4" s="6" t="s">
        <v>14</v>
      </c>
      <c r="J4" s="110"/>
      <c r="K4" s="125"/>
      <c r="L4" s="6"/>
      <c r="M4" s="17"/>
      <c r="N4" s="283"/>
      <c r="O4" s="6"/>
    </row>
    <row r="5" spans="1:15" ht="18.75" customHeight="1">
      <c r="A5" s="214" t="s">
        <v>5</v>
      </c>
      <c r="B5" s="12">
        <v>50</v>
      </c>
      <c r="C5" s="6" t="s">
        <v>3</v>
      </c>
      <c r="D5" s="6"/>
      <c r="E5" s="2"/>
      <c r="F5" s="2"/>
      <c r="G5" s="216" t="s">
        <v>57</v>
      </c>
      <c r="H5" s="183">
        <v>0.3</v>
      </c>
      <c r="I5" s="6"/>
      <c r="J5" s="110"/>
      <c r="K5" s="125"/>
      <c r="L5" s="6"/>
      <c r="M5" s="17"/>
      <c r="N5" s="283"/>
      <c r="O5" s="6"/>
    </row>
    <row r="6" spans="1:15" ht="18.75" customHeight="1">
      <c r="A6" s="214" t="s">
        <v>2</v>
      </c>
      <c r="B6" s="12">
        <v>1</v>
      </c>
      <c r="C6" s="6" t="s">
        <v>3</v>
      </c>
      <c r="D6" s="6"/>
      <c r="E6" s="2"/>
      <c r="F6" s="2"/>
      <c r="G6" s="217" t="s">
        <v>111</v>
      </c>
      <c r="H6" s="12">
        <v>350</v>
      </c>
      <c r="I6" s="6" t="s">
        <v>14</v>
      </c>
      <c r="J6" s="55"/>
      <c r="K6" s="111"/>
      <c r="L6" s="2"/>
      <c r="M6" s="17"/>
      <c r="N6" s="283"/>
      <c r="O6" s="6"/>
    </row>
    <row r="7" spans="1:15" ht="18.75" customHeight="1">
      <c r="A7" s="214" t="s">
        <v>1</v>
      </c>
      <c r="B7" s="12">
        <v>-0.5</v>
      </c>
      <c r="C7" s="6" t="s">
        <v>3</v>
      </c>
      <c r="D7" s="6"/>
      <c r="E7" s="2"/>
      <c r="F7" s="2"/>
      <c r="G7" s="215" t="s">
        <v>120</v>
      </c>
      <c r="H7" s="183">
        <v>1</v>
      </c>
      <c r="I7" s="6"/>
      <c r="J7" s="2"/>
      <c r="K7" s="2"/>
      <c r="L7" s="2"/>
      <c r="M7" s="17"/>
      <c r="N7" s="283"/>
      <c r="O7" s="6"/>
    </row>
    <row r="8" spans="1:15" ht="18.75" customHeight="1">
      <c r="A8" s="191" t="str">
        <f>IF(Profieleigenschappen!C13&lt;=Profieleigenschappen!E13,IF(Profieleigenschappen!C14&lt;=Profieleigenschappen!E14,"Invl. afrondingsstralen mag worden genegeerd","Invl. afrondingsstralen mag niet worden genegeerd"),"Invl. afrondingsstralen mag niet worden genegeerd")</f>
        <v>Invl. afrondingsstralen mag worden genegeerd</v>
      </c>
      <c r="B8" s="2"/>
      <c r="C8" s="2"/>
      <c r="D8" s="6"/>
      <c r="E8" s="2"/>
      <c r="F8" s="2"/>
      <c r="G8" s="215" t="s">
        <v>121</v>
      </c>
      <c r="H8" s="183">
        <v>1</v>
      </c>
      <c r="I8" s="6"/>
      <c r="J8" s="110"/>
      <c r="K8" s="125"/>
      <c r="L8" s="6"/>
      <c r="M8" s="17"/>
      <c r="N8" s="283"/>
      <c r="O8" s="6"/>
    </row>
    <row r="9" spans="1:15" ht="18.75" customHeight="1">
      <c r="A9" s="191" t="str">
        <f>IF(Profieleigenschappen!C13&lt;=Profieleigenschappen!E13,IF(Profieleigenschappen!C14&lt;=Profieleigenschappen!E14,"Dit kan door handmatig  r = - 0,5 * t in te voeren"," ")," ")</f>
        <v>Dit kan door handmatig  r = - 0,5 * t in te voeren</v>
      </c>
      <c r="B9" s="2"/>
      <c r="C9" s="2"/>
      <c r="D9" s="6"/>
      <c r="E9" s="6"/>
      <c r="F9" s="12"/>
      <c r="G9" s="6"/>
      <c r="H9" s="2"/>
      <c r="I9" s="178"/>
      <c r="J9" s="110"/>
      <c r="K9" s="125"/>
      <c r="L9" s="6"/>
      <c r="M9" s="58"/>
      <c r="N9" s="283"/>
      <c r="O9" s="6"/>
    </row>
    <row r="10" spans="1:15" s="154" customFormat="1" ht="14.25" customHeight="1">
      <c r="A10" s="1"/>
      <c r="B10" s="2"/>
      <c r="C10" s="2"/>
      <c r="D10" s="6"/>
      <c r="E10" s="6"/>
      <c r="F10" s="12"/>
      <c r="G10" s="6"/>
      <c r="H10" s="2"/>
      <c r="I10" s="178"/>
      <c r="J10" s="55"/>
      <c r="K10" s="111"/>
      <c r="L10" s="6"/>
      <c r="M10" s="58"/>
      <c r="N10" s="283"/>
      <c r="O10" s="6"/>
    </row>
    <row r="11" spans="1:15" ht="14.25" customHeight="1">
      <c r="A11" s="1"/>
      <c r="B11" s="2"/>
      <c r="C11" s="2"/>
      <c r="D11" s="6"/>
      <c r="F11" s="2"/>
      <c r="G11" s="2"/>
      <c r="H11" s="2"/>
      <c r="I11" s="178"/>
      <c r="J11" s="2"/>
      <c r="K11" s="2"/>
      <c r="L11" s="2"/>
      <c r="M11" s="58"/>
      <c r="N11" s="283"/>
      <c r="O11" s="6"/>
    </row>
    <row r="12" spans="1:15" ht="18.75" customHeight="1">
      <c r="A12" s="287" t="str">
        <f>IF(SUM(Profieleigenschappen!I4:I6)=3,"Profiel fysisch mogelijk","Profiel fysisch niet mogelijk")</f>
        <v>Profiel fysisch mogelijk</v>
      </c>
      <c r="B12" s="288"/>
      <c r="C12" s="288"/>
      <c r="D12" s="6"/>
      <c r="E12" s="2"/>
      <c r="F12" s="99"/>
      <c r="G12" s="99"/>
      <c r="H12" s="99"/>
      <c r="I12" s="6"/>
      <c r="J12" s="6"/>
      <c r="K12" s="57"/>
      <c r="L12" s="6"/>
      <c r="M12" s="17"/>
      <c r="N12" s="283"/>
      <c r="O12" s="6"/>
    </row>
    <row r="13" spans="1:15" ht="14.25" customHeight="1">
      <c r="A13" s="92"/>
      <c r="B13" s="93"/>
      <c r="C13" s="93"/>
      <c r="D13" s="94"/>
      <c r="E13" s="94"/>
      <c r="F13" s="94"/>
      <c r="G13" s="94"/>
      <c r="H13" s="94"/>
      <c r="I13" s="94"/>
      <c r="J13" s="94"/>
      <c r="K13" s="95"/>
      <c r="L13" s="94"/>
      <c r="M13" s="96"/>
      <c r="N13" s="284"/>
      <c r="O13" s="6"/>
    </row>
    <row r="14" spans="1:15" ht="18.75" customHeight="1">
      <c r="A14" s="20" t="s">
        <v>25</v>
      </c>
      <c r="B14" s="6"/>
      <c r="C14" s="6"/>
      <c r="D14" s="6"/>
      <c r="E14" s="6"/>
      <c r="F14" s="6"/>
      <c r="G14" s="6"/>
      <c r="H14" s="6"/>
      <c r="I14" s="6"/>
      <c r="J14" s="6"/>
      <c r="K14" s="2"/>
      <c r="L14" s="88"/>
      <c r="M14" s="17"/>
      <c r="N14" s="87"/>
      <c r="O14" s="6"/>
    </row>
    <row r="15" spans="1:15" ht="18.75" customHeight="1">
      <c r="A15" s="177" t="s">
        <v>26</v>
      </c>
      <c r="B15" s="176"/>
      <c r="C15" s="8"/>
      <c r="D15" s="2"/>
      <c r="E15" s="212" t="s">
        <v>96</v>
      </c>
      <c r="F15" s="41">
        <f>B6</f>
        <v>1</v>
      </c>
      <c r="G15" s="213" t="s">
        <v>126</v>
      </c>
      <c r="H15" s="296" t="str">
        <f>IF(F15&gt;=1,IF(F15&lt;=8,"Voldoet","Voldoet niet"),"Voldoet niet")</f>
        <v>Voldoet</v>
      </c>
      <c r="I15" s="296"/>
      <c r="J15" s="178"/>
      <c r="K15" s="2"/>
      <c r="L15" s="88"/>
      <c r="M15" s="59"/>
      <c r="N15" s="87"/>
      <c r="O15" s="6"/>
    </row>
    <row r="16" spans="1:15" ht="18.75" customHeight="1">
      <c r="A16" s="293" t="s">
        <v>27</v>
      </c>
      <c r="B16" s="294"/>
      <c r="C16" s="8"/>
      <c r="D16" s="2"/>
      <c r="E16" s="192"/>
      <c r="F16" s="41"/>
      <c r="G16" s="181"/>
      <c r="H16" s="295"/>
      <c r="I16" s="295"/>
      <c r="J16" s="176"/>
      <c r="K16" s="176"/>
      <c r="L16" s="176"/>
      <c r="M16" s="59"/>
      <c r="N16" s="87"/>
      <c r="O16" s="6"/>
    </row>
    <row r="17" spans="1:22" ht="18.75" customHeight="1">
      <c r="A17" s="180"/>
      <c r="B17" s="298" t="s">
        <v>29</v>
      </c>
      <c r="C17" s="298"/>
      <c r="D17" s="2"/>
      <c r="E17" s="218" t="s">
        <v>28</v>
      </c>
      <c r="F17" s="41">
        <f>B4/B6</f>
        <v>100</v>
      </c>
      <c r="G17" s="181" t="s">
        <v>92</v>
      </c>
      <c r="H17" s="295" t="str">
        <f>IF(F17&lt;=500,"Voldoet","Voldoet niet")</f>
        <v>Voldoet</v>
      </c>
      <c r="I17" s="295"/>
      <c r="J17" s="176"/>
      <c r="K17" s="176"/>
      <c r="L17" s="176"/>
      <c r="M17" s="59"/>
      <c r="N17" s="87"/>
      <c r="O17" s="6"/>
      <c r="T17" s="2"/>
      <c r="U17" s="2"/>
      <c r="V17" s="2"/>
    </row>
    <row r="18" spans="1:22" ht="18.75" customHeight="1">
      <c r="A18" s="180"/>
      <c r="B18" s="298" t="s">
        <v>30</v>
      </c>
      <c r="C18" s="298"/>
      <c r="D18" s="2"/>
      <c r="E18" s="218" t="s">
        <v>31</v>
      </c>
      <c r="F18" s="41">
        <f>B5/B6</f>
        <v>50</v>
      </c>
      <c r="G18" s="181" t="s">
        <v>93</v>
      </c>
      <c r="H18" s="295" t="str">
        <f>IF(F18&lt;=50,"Voldoet","Voldoet niet")</f>
        <v>Voldoet</v>
      </c>
      <c r="I18" s="295"/>
      <c r="J18" s="176"/>
      <c r="K18" s="176"/>
      <c r="L18" s="176"/>
      <c r="M18" s="59"/>
      <c r="N18" s="87"/>
      <c r="O18" s="6"/>
      <c r="T18" s="2"/>
      <c r="U18" s="2"/>
      <c r="V18" s="2"/>
    </row>
    <row r="19" spans="1:22" ht="18.75" customHeight="1">
      <c r="A19" s="180"/>
      <c r="B19" s="298" t="s">
        <v>99</v>
      </c>
      <c r="C19" s="298"/>
      <c r="D19" s="2"/>
      <c r="E19" s="219" t="s">
        <v>1</v>
      </c>
      <c r="F19" s="210" t="s">
        <v>34</v>
      </c>
      <c r="G19" s="211" t="s">
        <v>119</v>
      </c>
      <c r="H19" s="88"/>
      <c r="I19" s="6"/>
      <c r="J19" s="41"/>
      <c r="K19" s="41"/>
      <c r="L19" s="41"/>
      <c r="M19" s="112"/>
      <c r="N19" s="87"/>
      <c r="P19" s="41"/>
      <c r="Q19" s="41"/>
      <c r="R19" s="41"/>
      <c r="S19" s="41"/>
      <c r="T19" s="41"/>
      <c r="U19" s="2"/>
      <c r="V19" s="2"/>
    </row>
    <row r="20" spans="1:22" ht="18.75" customHeight="1">
      <c r="A20" s="113"/>
      <c r="B20" s="114"/>
      <c r="C20" s="8"/>
      <c r="D20" s="2"/>
      <c r="E20" s="88">
        <f>B7</f>
        <v>-0.5</v>
      </c>
      <c r="F20" s="182" t="s">
        <v>34</v>
      </c>
      <c r="G20" s="126">
        <f>0.04*B6*H4/H6</f>
        <v>24</v>
      </c>
      <c r="H20" s="297" t="str">
        <f>IF(E20&gt;G20,"Voldoet niet","Voldoet")</f>
        <v>Voldoet</v>
      </c>
      <c r="I20" s="297"/>
      <c r="J20" s="305"/>
      <c r="K20" s="305"/>
      <c r="L20" s="305"/>
      <c r="M20" s="306"/>
      <c r="N20" s="87"/>
      <c r="O20" s="6"/>
      <c r="T20" s="2"/>
      <c r="U20" s="2"/>
      <c r="V20" s="2"/>
    </row>
    <row r="21" spans="1:22" ht="18.75" customHeight="1">
      <c r="A21" s="16"/>
      <c r="B21" s="6"/>
      <c r="C21" s="6"/>
      <c r="D21" s="6"/>
      <c r="E21" s="2"/>
      <c r="F21" s="2"/>
      <c r="G21" s="2"/>
      <c r="H21" s="299"/>
      <c r="I21" s="299"/>
      <c r="J21" s="299"/>
      <c r="K21" s="299"/>
      <c r="L21" s="299"/>
      <c r="M21" s="300"/>
      <c r="N21" s="87"/>
      <c r="O21" s="5"/>
      <c r="T21" s="2"/>
      <c r="U21" s="2"/>
      <c r="V21" s="2"/>
    </row>
    <row r="22" spans="1:22" ht="14.25" customHeight="1">
      <c r="A22" s="1"/>
      <c r="B22" s="2"/>
      <c r="C22" s="2"/>
      <c r="D22" s="6"/>
      <c r="E22" s="2"/>
      <c r="F22" s="2"/>
      <c r="G22" s="2"/>
      <c r="H22" s="301"/>
      <c r="I22" s="301"/>
      <c r="J22" s="301"/>
      <c r="K22" s="301"/>
      <c r="L22" s="301"/>
      <c r="M22" s="302"/>
      <c r="N22" s="87"/>
      <c r="O22" s="5"/>
      <c r="T22" s="2"/>
      <c r="U22" s="2"/>
      <c r="V22" s="2"/>
    </row>
    <row r="23" spans="1:22" ht="14.25" customHeight="1">
      <c r="A23" s="1"/>
      <c r="B23" s="2"/>
      <c r="C23" s="2"/>
      <c r="D23" s="6"/>
      <c r="E23" s="2"/>
      <c r="F23" s="2"/>
      <c r="G23" s="2"/>
      <c r="H23" s="301"/>
      <c r="I23" s="301"/>
      <c r="J23" s="301"/>
      <c r="K23" s="301"/>
      <c r="L23" s="301"/>
      <c r="M23" s="302"/>
      <c r="N23" s="87"/>
      <c r="O23" s="5"/>
    </row>
    <row r="24" spans="1:22" ht="14.25" customHeight="1">
      <c r="A24" s="1"/>
      <c r="B24" s="2"/>
      <c r="C24" s="2"/>
      <c r="D24" s="2"/>
      <c r="E24" s="121"/>
      <c r="F24" s="122"/>
      <c r="G24" s="121"/>
      <c r="H24" s="301"/>
      <c r="I24" s="301"/>
      <c r="J24" s="301"/>
      <c r="K24" s="301"/>
      <c r="L24" s="301"/>
      <c r="M24" s="302"/>
      <c r="N24" s="87"/>
      <c r="O24" s="5"/>
    </row>
    <row r="25" spans="1:22" ht="14.25" customHeight="1">
      <c r="A25" s="123"/>
      <c r="B25" s="29"/>
      <c r="C25" s="12"/>
      <c r="D25" s="12"/>
      <c r="E25" s="12"/>
      <c r="F25" s="29"/>
      <c r="G25" s="12"/>
      <c r="H25" s="301"/>
      <c r="I25" s="301"/>
      <c r="J25" s="301"/>
      <c r="K25" s="301"/>
      <c r="L25" s="301"/>
      <c r="M25" s="302"/>
      <c r="N25" s="87"/>
      <c r="O25" s="38"/>
    </row>
    <row r="26" spans="1:22" ht="14.25" customHeight="1">
      <c r="A26" s="124"/>
      <c r="B26" s="125"/>
      <c r="C26" s="125"/>
      <c r="D26" s="12"/>
      <c r="E26" s="12"/>
      <c r="F26" s="29"/>
      <c r="G26" s="12"/>
      <c r="H26" s="301"/>
      <c r="I26" s="301"/>
      <c r="J26" s="301"/>
      <c r="K26" s="301"/>
      <c r="L26" s="301"/>
      <c r="M26" s="302"/>
      <c r="N26" s="87"/>
      <c r="O26" s="5"/>
    </row>
    <row r="27" spans="1:22" ht="14.25" customHeight="1">
      <c r="A27" s="124"/>
      <c r="B27" s="125"/>
      <c r="C27" s="125"/>
      <c r="D27" s="12"/>
      <c r="E27" s="12"/>
      <c r="F27" s="29"/>
      <c r="G27" s="12"/>
      <c r="H27" s="301"/>
      <c r="I27" s="301"/>
      <c r="J27" s="301"/>
      <c r="K27" s="301"/>
      <c r="L27" s="301"/>
      <c r="M27" s="302"/>
      <c r="N27" s="87"/>
    </row>
    <row r="28" spans="1:22" ht="14.25" customHeight="1">
      <c r="A28" s="1"/>
      <c r="B28" s="2"/>
      <c r="C28" s="2"/>
      <c r="D28" s="6"/>
      <c r="E28" s="121"/>
      <c r="F28" s="122"/>
      <c r="G28" s="121"/>
      <c r="H28" s="301"/>
      <c r="I28" s="301"/>
      <c r="J28" s="301"/>
      <c r="K28" s="301"/>
      <c r="L28" s="301"/>
      <c r="M28" s="302"/>
      <c r="N28" s="87"/>
      <c r="O28" s="5"/>
    </row>
    <row r="29" spans="1:22" ht="14.25" customHeight="1">
      <c r="A29" s="1"/>
      <c r="B29" s="2"/>
      <c r="C29" s="2"/>
      <c r="D29" s="6"/>
      <c r="E29" s="6"/>
      <c r="F29" s="11"/>
      <c r="G29" s="6"/>
      <c r="H29" s="301"/>
      <c r="I29" s="301"/>
      <c r="J29" s="301"/>
      <c r="K29" s="301"/>
      <c r="L29" s="301"/>
      <c r="M29" s="302"/>
      <c r="N29" s="87"/>
      <c r="O29" s="5"/>
    </row>
    <row r="30" spans="1:22" ht="14.25" customHeight="1">
      <c r="A30" s="1"/>
      <c r="B30" s="2"/>
      <c r="C30" s="2"/>
      <c r="D30" s="6"/>
      <c r="E30" s="6"/>
      <c r="F30" s="11"/>
      <c r="G30" s="6"/>
      <c r="H30" s="301"/>
      <c r="I30" s="301"/>
      <c r="J30" s="301"/>
      <c r="K30" s="301"/>
      <c r="L30" s="301"/>
      <c r="M30" s="302"/>
      <c r="N30" s="87"/>
      <c r="O30" s="5"/>
    </row>
    <row r="31" spans="1:22" ht="14.25" customHeight="1">
      <c r="A31" s="1"/>
      <c r="B31" s="2"/>
      <c r="C31" s="2"/>
      <c r="D31" s="6"/>
      <c r="E31" s="6"/>
      <c r="F31" s="11"/>
      <c r="G31" s="6"/>
      <c r="H31" s="301"/>
      <c r="I31" s="301"/>
      <c r="J31" s="301"/>
      <c r="K31" s="301"/>
      <c r="L31" s="301"/>
      <c r="M31" s="302"/>
      <c r="N31" s="87"/>
      <c r="O31" s="5"/>
    </row>
    <row r="32" spans="1:22" ht="14.25" customHeight="1">
      <c r="A32" s="1"/>
      <c r="B32" s="2"/>
      <c r="C32" s="2"/>
      <c r="D32" s="6"/>
      <c r="E32" s="6"/>
      <c r="F32" s="11"/>
      <c r="G32" s="6"/>
      <c r="H32" s="301"/>
      <c r="I32" s="301"/>
      <c r="J32" s="301"/>
      <c r="K32" s="301"/>
      <c r="L32" s="301"/>
      <c r="M32" s="302"/>
      <c r="N32" s="87"/>
      <c r="O32" s="5"/>
    </row>
    <row r="33" spans="1:15" ht="14.25" customHeight="1">
      <c r="A33" s="1"/>
      <c r="B33" s="2"/>
      <c r="C33" s="2"/>
      <c r="D33" s="6"/>
      <c r="E33" s="6"/>
      <c r="F33" s="11"/>
      <c r="G33" s="6"/>
      <c r="H33" s="301"/>
      <c r="I33" s="301"/>
      <c r="J33" s="301"/>
      <c r="K33" s="301"/>
      <c r="L33" s="301"/>
      <c r="M33" s="302"/>
      <c r="N33" s="87"/>
      <c r="O33" s="5"/>
    </row>
    <row r="34" spans="1:15" ht="14.25" customHeight="1" thickBot="1">
      <c r="A34" s="91"/>
      <c r="B34" s="3"/>
      <c r="C34" s="3"/>
      <c r="D34" s="21"/>
      <c r="E34" s="21"/>
      <c r="F34" s="22"/>
      <c r="G34" s="21"/>
      <c r="H34" s="303"/>
      <c r="I34" s="303"/>
      <c r="J34" s="303"/>
      <c r="K34" s="303"/>
      <c r="L34" s="303"/>
      <c r="M34" s="304"/>
      <c r="N34" s="87"/>
      <c r="O34" s="5"/>
    </row>
    <row r="35" spans="1:15" ht="15.75" thickBot="1">
      <c r="D35" s="6"/>
      <c r="E35" s="6"/>
      <c r="F35" s="11"/>
      <c r="G35" s="6"/>
      <c r="H35" s="6"/>
      <c r="I35" s="6"/>
      <c r="J35" s="6"/>
      <c r="K35" s="8"/>
      <c r="L35" s="8"/>
      <c r="M35" s="5"/>
      <c r="N35" s="87"/>
      <c r="O35" s="5"/>
    </row>
    <row r="36" spans="1:15" ht="18.75" customHeight="1">
      <c r="A36" s="23" t="s">
        <v>15</v>
      </c>
      <c r="B36" s="13"/>
      <c r="C36" s="13"/>
      <c r="D36" s="13"/>
      <c r="E36" s="13"/>
      <c r="F36" s="14"/>
      <c r="G36" s="13"/>
      <c r="H36" s="13"/>
      <c r="I36" s="13"/>
      <c r="J36" s="13"/>
      <c r="K36" s="46"/>
      <c r="L36" s="46"/>
      <c r="M36" s="80"/>
      <c r="N36" s="282" t="s">
        <v>18</v>
      </c>
      <c r="O36" s="5"/>
    </row>
    <row r="37" spans="1:15" ht="18.75" customHeight="1">
      <c r="A37" s="214" t="s">
        <v>122</v>
      </c>
      <c r="B37" s="27">
        <f>Berekening!H108</f>
        <v>20.864294159767088</v>
      </c>
      <c r="C37" s="6" t="s">
        <v>3</v>
      </c>
      <c r="D37" s="6"/>
      <c r="E37" s="215" t="s">
        <v>125</v>
      </c>
      <c r="F37" s="27">
        <f>Berekening!H118</f>
        <v>14.375509665572837</v>
      </c>
      <c r="G37" s="6" t="s">
        <v>3</v>
      </c>
      <c r="H37" s="6"/>
      <c r="I37" s="27"/>
      <c r="J37" s="6"/>
      <c r="K37" s="8"/>
      <c r="L37" s="8"/>
      <c r="M37" s="15"/>
      <c r="N37" s="291"/>
      <c r="O37" s="5"/>
    </row>
    <row r="38" spans="1:15" ht="18.75" customHeight="1">
      <c r="A38" s="214" t="s">
        <v>123</v>
      </c>
      <c r="B38" s="27">
        <f>Berekening!H109</f>
        <v>20.864294159767088</v>
      </c>
      <c r="C38" s="6" t="s">
        <v>3</v>
      </c>
      <c r="D38" s="6"/>
      <c r="E38" s="6"/>
      <c r="F38" s="27"/>
      <c r="G38" s="6"/>
      <c r="H38" s="6"/>
      <c r="I38" s="27"/>
      <c r="J38" s="6"/>
      <c r="K38" s="8"/>
      <c r="L38" s="8"/>
      <c r="M38" s="15"/>
      <c r="N38" s="291"/>
      <c r="O38" s="5"/>
    </row>
    <row r="39" spans="1:15" ht="18.75" customHeight="1">
      <c r="A39" s="214"/>
      <c r="B39" s="9"/>
      <c r="C39" s="6"/>
      <c r="D39" s="6"/>
      <c r="E39" s="9"/>
      <c r="F39" s="6"/>
      <c r="G39" s="6"/>
      <c r="H39" s="6"/>
      <c r="I39" s="27"/>
      <c r="J39" s="6"/>
      <c r="K39" s="8"/>
      <c r="L39" s="8"/>
      <c r="M39" s="15"/>
      <c r="N39" s="291"/>
      <c r="O39" s="5"/>
    </row>
    <row r="40" spans="1:15" ht="18.75" customHeight="1">
      <c r="A40" s="214" t="s">
        <v>16</v>
      </c>
      <c r="B40" s="27">
        <f>Berekening!H121</f>
        <v>70.479607650679853</v>
      </c>
      <c r="C40" s="6" t="s">
        <v>7</v>
      </c>
      <c r="D40" s="6"/>
      <c r="E40" s="9"/>
      <c r="G40" s="6"/>
      <c r="H40" s="6"/>
      <c r="I40" s="6"/>
      <c r="J40" s="6"/>
      <c r="K40" s="6"/>
      <c r="L40" s="6"/>
      <c r="M40" s="15"/>
      <c r="N40" s="291"/>
      <c r="O40" s="5"/>
    </row>
    <row r="41" spans="1:15" ht="18.75" customHeight="1">
      <c r="A41" s="214" t="s">
        <v>109</v>
      </c>
      <c r="B41" s="27">
        <f>Berekening!H122</f>
        <v>2.9321286686104964</v>
      </c>
      <c r="C41" s="6" t="s">
        <v>3</v>
      </c>
      <c r="D41" s="6"/>
      <c r="E41" s="9"/>
      <c r="F41" s="6"/>
      <c r="G41" s="6"/>
      <c r="H41" s="6"/>
      <c r="I41" s="6"/>
      <c r="J41" s="6"/>
      <c r="K41" s="8"/>
      <c r="L41" s="8"/>
      <c r="M41" s="15"/>
      <c r="N41" s="291"/>
      <c r="O41" s="5"/>
    </row>
    <row r="42" spans="1:15" ht="18.75" customHeight="1">
      <c r="A42" s="214" t="s">
        <v>124</v>
      </c>
      <c r="B42" s="27">
        <f>Profieleigenschappen!E35</f>
        <v>12.375</v>
      </c>
      <c r="C42" s="6" t="s">
        <v>3</v>
      </c>
      <c r="D42" s="6"/>
      <c r="E42" s="6"/>
      <c r="F42" s="6"/>
      <c r="G42" s="6"/>
      <c r="H42" s="6"/>
      <c r="I42" s="6"/>
      <c r="J42" s="6"/>
      <c r="K42" s="8"/>
      <c r="L42" s="8"/>
      <c r="M42" s="15"/>
      <c r="N42" s="291"/>
      <c r="O42" s="5"/>
    </row>
    <row r="43" spans="1:15" ht="18.75" customHeight="1">
      <c r="A43" s="214" t="s">
        <v>110</v>
      </c>
      <c r="B43" s="27">
        <f>Berekening!H123</f>
        <v>-9.4428713313895045</v>
      </c>
      <c r="C43" s="6" t="s">
        <v>3</v>
      </c>
      <c r="D43" s="6"/>
      <c r="E43" s="6"/>
      <c r="F43" s="6"/>
      <c r="G43" s="6"/>
      <c r="H43" s="6"/>
      <c r="I43" s="6"/>
      <c r="J43" s="6"/>
      <c r="K43" s="8"/>
      <c r="L43" s="8"/>
      <c r="M43" s="15"/>
      <c r="N43" s="291"/>
      <c r="O43" s="5"/>
    </row>
    <row r="44" spans="1:15">
      <c r="A44" s="1"/>
      <c r="B44" s="2"/>
      <c r="C44" s="2"/>
      <c r="D44" s="2"/>
      <c r="E44" s="2"/>
      <c r="F44" s="2"/>
      <c r="G44" s="2"/>
      <c r="H44" s="6"/>
      <c r="I44" s="6"/>
      <c r="J44" s="6"/>
      <c r="K44" s="8"/>
      <c r="L44" s="8"/>
      <c r="M44" s="15"/>
      <c r="N44" s="292"/>
      <c r="O44" s="5"/>
    </row>
    <row r="45" spans="1:15" ht="14.25" customHeight="1">
      <c r="A45" s="1"/>
      <c r="B45" s="2"/>
      <c r="C45" s="2"/>
      <c r="D45" s="6"/>
      <c r="E45" s="6"/>
      <c r="F45" s="6"/>
      <c r="G45" s="6"/>
      <c r="H45" s="6"/>
      <c r="I45" s="6"/>
      <c r="J45" s="6"/>
      <c r="K45" s="8"/>
      <c r="L45" s="8"/>
      <c r="M45" s="15"/>
      <c r="N45" s="5"/>
      <c r="O45" s="5"/>
    </row>
    <row r="46" spans="1:15" ht="18.75" customHeight="1">
      <c r="A46" s="289" t="str">
        <f>A12</f>
        <v>Profiel fysisch mogelijk</v>
      </c>
      <c r="B46" s="290"/>
      <c r="C46" s="290"/>
      <c r="D46" s="6"/>
      <c r="E46" s="6"/>
      <c r="F46" s="6"/>
      <c r="G46" s="6"/>
      <c r="H46" s="6"/>
      <c r="I46" s="6"/>
      <c r="J46" s="6"/>
      <c r="K46" s="8"/>
      <c r="L46" s="8"/>
      <c r="M46" s="15"/>
      <c r="N46" s="5"/>
      <c r="O46" s="5"/>
    </row>
    <row r="47" spans="1:15" ht="14.25" customHeight="1">
      <c r="A47" s="1"/>
      <c r="B47" s="100"/>
      <c r="C47" s="100"/>
      <c r="D47" s="6"/>
      <c r="E47" s="6"/>
      <c r="F47" s="6"/>
      <c r="G47" s="6"/>
      <c r="H47" s="6"/>
      <c r="I47" s="6"/>
      <c r="J47" s="6"/>
      <c r="K47" s="8"/>
      <c r="L47" s="8"/>
      <c r="M47" s="15"/>
      <c r="N47" s="5"/>
      <c r="O47" s="5"/>
    </row>
    <row r="48" spans="1:15" ht="18.75" customHeight="1">
      <c r="A48" s="285" t="str">
        <f>IF(F18&gt;50,IF(F17&gt;500,"Output niet geldig","Output niet geldig"),"Output geldig")</f>
        <v>Output geldig</v>
      </c>
      <c r="B48" s="286"/>
      <c r="C48" s="286"/>
      <c r="D48" s="6"/>
      <c r="E48" s="6"/>
      <c r="F48" s="6"/>
      <c r="G48" s="6"/>
      <c r="H48" s="6"/>
      <c r="I48" s="6"/>
      <c r="J48" s="6"/>
      <c r="K48" s="8"/>
      <c r="L48" s="8"/>
      <c r="M48" s="15"/>
      <c r="N48" s="5"/>
      <c r="O48" s="5"/>
    </row>
    <row r="49" spans="1:15" ht="14.25" customHeight="1">
      <c r="A49" s="16"/>
      <c r="B49" s="28"/>
      <c r="C49" s="6"/>
      <c r="D49" s="6"/>
      <c r="E49" s="6"/>
      <c r="F49" s="6"/>
      <c r="G49" s="6"/>
      <c r="H49" s="6"/>
      <c r="I49" s="6"/>
      <c r="J49" s="6"/>
      <c r="K49" s="8"/>
      <c r="L49" s="8"/>
      <c r="M49" s="15"/>
      <c r="N49" s="5"/>
      <c r="O49" s="5"/>
    </row>
    <row r="50" spans="1:15" ht="14.25" customHeight="1" thickBot="1">
      <c r="A50" s="9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9"/>
      <c r="N50" s="5"/>
      <c r="O50" s="5"/>
    </row>
    <row r="51" spans="1:15">
      <c r="A51" s="2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5"/>
      <c r="N51" s="5"/>
      <c r="O51" s="5"/>
    </row>
    <row r="52" spans="1:15">
      <c r="A52" s="86"/>
      <c r="B52" s="33"/>
      <c r="C52" s="10"/>
      <c r="D52" s="2"/>
      <c r="E52" s="8"/>
      <c r="F52" s="8"/>
      <c r="G52" s="8"/>
      <c r="H52" s="8"/>
      <c r="I52" s="8"/>
      <c r="J52" s="8"/>
      <c r="K52" s="8"/>
      <c r="L52" s="8"/>
      <c r="M52" s="5"/>
      <c r="N52" s="5"/>
      <c r="O52" s="5"/>
    </row>
    <row r="53" spans="1:15">
      <c r="A53" s="8"/>
      <c r="B53" s="8"/>
      <c r="C53" s="8"/>
      <c r="D53" s="8"/>
      <c r="E53" s="8"/>
      <c r="F53" s="8"/>
      <c r="H53" s="8"/>
      <c r="I53" s="8"/>
      <c r="J53" s="8"/>
      <c r="L53" s="8"/>
      <c r="M53" s="5"/>
      <c r="N53" s="5"/>
      <c r="O53" s="5"/>
    </row>
    <row r="54" spans="1:15">
      <c r="A54" s="7"/>
      <c r="B54" s="8"/>
      <c r="C54" s="8"/>
      <c r="D54" s="8"/>
      <c r="E54" s="8"/>
      <c r="F54" s="8"/>
      <c r="G54" s="8"/>
      <c r="I54" s="8"/>
      <c r="J54" s="8"/>
      <c r="K54" s="8"/>
      <c r="L54" s="8"/>
      <c r="M54" s="5"/>
      <c r="N54" s="5"/>
      <c r="O54" s="5"/>
    </row>
    <row r="55" spans="1:1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5"/>
      <c r="N55" s="5"/>
      <c r="O55" s="5"/>
    </row>
    <row r="56" spans="1:15">
      <c r="A56" s="8"/>
      <c r="B56" s="33"/>
      <c r="C56" s="10"/>
      <c r="D56" s="8"/>
      <c r="E56" s="8"/>
      <c r="F56" s="8"/>
      <c r="G56" s="8"/>
      <c r="H56" s="8"/>
      <c r="I56" s="8"/>
      <c r="J56" s="8"/>
      <c r="K56" s="8"/>
      <c r="L56" s="8"/>
      <c r="M56" s="5"/>
      <c r="N56" s="5"/>
      <c r="O56" s="5"/>
    </row>
    <row r="57" spans="1:1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5"/>
      <c r="N57" s="5"/>
      <c r="O57" s="5"/>
    </row>
    <row r="58" spans="1:1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M58" s="5"/>
      <c r="N58" s="5"/>
      <c r="O58" s="5"/>
    </row>
    <row r="59" spans="1:1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5"/>
      <c r="N59" s="5"/>
      <c r="O59" s="5"/>
    </row>
  </sheetData>
  <mergeCells count="16">
    <mergeCell ref="N3:N13"/>
    <mergeCell ref="A48:C48"/>
    <mergeCell ref="A12:C12"/>
    <mergeCell ref="A46:C46"/>
    <mergeCell ref="N36:N44"/>
    <mergeCell ref="A16:B16"/>
    <mergeCell ref="H18:I18"/>
    <mergeCell ref="H17:I17"/>
    <mergeCell ref="H16:I16"/>
    <mergeCell ref="H15:I15"/>
    <mergeCell ref="H20:I20"/>
    <mergeCell ref="B17:C17"/>
    <mergeCell ref="B18:C18"/>
    <mergeCell ref="B19:C19"/>
    <mergeCell ref="H21:M34"/>
    <mergeCell ref="J20:M20"/>
  </mergeCells>
  <conditionalFormatting sqref="H19:H20 L14">
    <cfRule type="cellIs" dxfId="60" priority="27" operator="equal">
      <formula>"Voldoet niet"</formula>
    </cfRule>
    <cfRule type="cellIs" dxfId="59" priority="28" operator="equal">
      <formula>"Voldoet niet"</formula>
    </cfRule>
    <cfRule type="cellIs" dxfId="58" priority="29" operator="equal">
      <formula>"Voldoet"</formula>
    </cfRule>
  </conditionalFormatting>
  <conditionalFormatting sqref="H16:I18 L15">
    <cfRule type="cellIs" dxfId="57" priority="25" operator="equal">
      <formula>"Voldoet niet"</formula>
    </cfRule>
    <cfRule type="cellIs" dxfId="56" priority="26" operator="equal">
      <formula>"Voldoet"</formula>
    </cfRule>
  </conditionalFormatting>
  <conditionalFormatting sqref="H15">
    <cfRule type="cellIs" dxfId="55" priority="22" operator="equal">
      <formula>"Voldoet niet"</formula>
    </cfRule>
    <cfRule type="cellIs" dxfId="54" priority="23" operator="equal">
      <formula>"Voldoet"</formula>
    </cfRule>
    <cfRule type="cellIs" priority="24" operator="equal">
      <formula>"Voldoet"</formula>
    </cfRule>
  </conditionalFormatting>
  <conditionalFormatting sqref="A48">
    <cfRule type="cellIs" dxfId="53" priority="21" operator="equal">
      <formula>"Lip moet mee genomen worden in berekening"</formula>
    </cfRule>
  </conditionalFormatting>
  <conditionalFormatting sqref="A48">
    <cfRule type="cellIs" dxfId="52" priority="19" operator="equal">
      <formula>"Lip moet niet meegenomen worden in berekening"</formula>
    </cfRule>
    <cfRule type="cellIs" dxfId="51" priority="20" operator="equal">
      <formula>"Lip moet mee genomen worden in berekening"</formula>
    </cfRule>
  </conditionalFormatting>
  <conditionalFormatting sqref="A46:C46 F12:H12 A12">
    <cfRule type="cellIs" dxfId="50" priority="13" operator="equal">
      <formula>"Profiel fysisch niet mogelijk"</formula>
    </cfRule>
    <cfRule type="cellIs" dxfId="49" priority="14" operator="equal">
      <formula>"Profiel fysisch mogelijk"</formula>
    </cfRule>
  </conditionalFormatting>
  <conditionalFormatting sqref="A48">
    <cfRule type="cellIs" dxfId="48" priority="8" operator="equal">
      <formula>"Output niet geldig"</formula>
    </cfRule>
    <cfRule type="cellIs" dxfId="47" priority="9" operator="equal">
      <formula>"Output geldig"</formula>
    </cfRule>
  </conditionalFormatting>
  <conditionalFormatting sqref="F18">
    <cfRule type="cellIs" dxfId="46" priority="5" operator="greaterThan">
      <formula>50</formula>
    </cfRule>
  </conditionalFormatting>
  <conditionalFormatting sqref="H20:I20">
    <cfRule type="cellIs" dxfId="45" priority="1" operator="equal">
      <formula>"Voldoet niet"</formula>
    </cfRule>
  </conditionalFormatting>
  <conditionalFormatting sqref="H20">
    <cfRule type="cellIs" dxfId="44" priority="2" operator="equal">
      <formula>"Voldoet"</formula>
    </cfRule>
  </conditionalFormatting>
  <pageMargins left="0.70866141732283472" right="0.70866141732283472" top="0.55118110236220474" bottom="0.55118110236220474" header="0.31496062992125984" footer="0.31496062992125984"/>
  <pageSetup scale="75" orientation="portrait" r:id="rId1"/>
  <rowBreaks count="1" manualBreakCount="1">
    <brk id="34" max="16383" man="1"/>
  </rowBreaks>
  <drawing r:id="rId2"/>
  <legacyDrawing r:id="rId3"/>
  <oleObjects>
    <oleObject progId="AutoCAD.Drawing.16" shapeId="2252" r:id="rId4"/>
    <oleObject progId="AutoCAD.Drawing.16" shapeId="2253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75"/>
  <sheetViews>
    <sheetView topLeftCell="A19" zoomScaleNormal="100" workbookViewId="0"/>
  </sheetViews>
  <sheetFormatPr defaultRowHeight="15"/>
  <cols>
    <col min="1" max="1" width="9.140625" customWidth="1"/>
    <col min="2" max="2" width="12.85546875" customWidth="1"/>
    <col min="3" max="3" width="8.7109375" customWidth="1"/>
    <col min="4" max="4" width="7.85546875" customWidth="1"/>
    <col min="5" max="5" width="12.85546875" customWidth="1"/>
    <col min="6" max="6" width="12.140625" customWidth="1"/>
    <col min="7" max="7" width="8.7109375" customWidth="1"/>
    <col min="8" max="8" width="12.28515625" customWidth="1"/>
    <col min="9" max="9" width="17.28515625" customWidth="1"/>
    <col min="10" max="10" width="14" customWidth="1"/>
    <col min="11" max="11" width="11.42578125" customWidth="1"/>
    <col min="12" max="12" width="21.85546875" customWidth="1"/>
    <col min="13" max="13" width="10.28515625" customWidth="1"/>
    <col min="14" max="14" width="16.855468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6.25" customHeight="1">
      <c r="A1" s="268" t="s">
        <v>97</v>
      </c>
      <c r="B1" s="5"/>
      <c r="C1" s="173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customHeight="1" thickBot="1">
      <c r="A3" s="279" t="s">
        <v>11</v>
      </c>
      <c r="B3" s="51"/>
      <c r="C3" s="48"/>
      <c r="D3" s="49"/>
      <c r="F3" s="47" t="s">
        <v>6</v>
      </c>
      <c r="G3" s="48"/>
      <c r="H3" s="49"/>
      <c r="I3" s="127"/>
      <c r="J3" s="5"/>
      <c r="K3" s="43"/>
      <c r="L3" s="43"/>
      <c r="M3" s="43"/>
      <c r="N3" s="5"/>
      <c r="O3" s="5"/>
      <c r="P3" s="5"/>
      <c r="Q3" s="5"/>
    </row>
    <row r="4" spans="1:17" ht="18.75" customHeight="1">
      <c r="A4" s="214" t="s">
        <v>12</v>
      </c>
      <c r="B4" s="207">
        <f>'Input &amp; output'!H4</f>
        <v>210000</v>
      </c>
      <c r="C4" s="88" t="s">
        <v>14</v>
      </c>
      <c r="D4" s="17"/>
      <c r="F4" s="220" t="s">
        <v>4</v>
      </c>
      <c r="G4" s="62">
        <f>'Input &amp; output'!B4</f>
        <v>100</v>
      </c>
      <c r="H4" s="26" t="s">
        <v>3</v>
      </c>
      <c r="I4" s="127">
        <f>IF(G4&gt;=(2*G6),1,0)</f>
        <v>1</v>
      </c>
      <c r="J4" s="307" t="str">
        <f>IF(G4&gt;=(2*G6),"Hoogte is ten minste gelijk aan 2x de dikte","Hoogte is kleiner dan 2x de dikte")</f>
        <v>Hoogte is ten minste gelijk aan 2x de dikte</v>
      </c>
      <c r="K4" s="307"/>
      <c r="L4" s="307"/>
      <c r="M4" s="88"/>
      <c r="N4" s="5"/>
      <c r="O4" s="5"/>
      <c r="P4" s="5"/>
      <c r="Q4" s="5"/>
    </row>
    <row r="5" spans="1:17" ht="18.75" customHeight="1">
      <c r="A5" s="214" t="s">
        <v>13</v>
      </c>
      <c r="B5" s="206">
        <f>$B$4/(2*(1+$B$6))</f>
        <v>80769.230769230766</v>
      </c>
      <c r="C5" s="88" t="s">
        <v>14</v>
      </c>
      <c r="D5" s="17"/>
      <c r="F5" s="214" t="s">
        <v>5</v>
      </c>
      <c r="G5" s="64">
        <f>'Input &amp; output'!B5</f>
        <v>50</v>
      </c>
      <c r="H5" s="17" t="s">
        <v>3</v>
      </c>
      <c r="I5" s="127">
        <f>IF(G5&gt;=(2*G6),1,0)</f>
        <v>1</v>
      </c>
      <c r="J5" s="295" t="str">
        <f>IF(G5&gt;=(2*G6),"Breedte is ten minste gelijk aan 2x de dikte","Breedte is kleiner dan 2x de dikte")</f>
        <v>Breedte is ten minste gelijk aan 2x de dikte</v>
      </c>
      <c r="K5" s="295"/>
      <c r="L5" s="295"/>
      <c r="M5" s="88"/>
      <c r="N5" s="5"/>
      <c r="O5" s="5"/>
      <c r="P5" s="5"/>
      <c r="Q5" s="5"/>
    </row>
    <row r="6" spans="1:17" ht="18.75" customHeight="1">
      <c r="A6" s="221" t="s">
        <v>57</v>
      </c>
      <c r="B6" s="207">
        <f>'Input &amp; output'!H5</f>
        <v>0.3</v>
      </c>
      <c r="C6" s="88"/>
      <c r="D6" s="17"/>
      <c r="F6" s="214" t="s">
        <v>2</v>
      </c>
      <c r="G6" s="64">
        <f>'Input &amp; output'!B6</f>
        <v>1</v>
      </c>
      <c r="H6" s="17" t="s">
        <v>3</v>
      </c>
      <c r="I6" s="127">
        <f>IF(MIN('Input &amp; output'!B37:B38,'Input &amp; output'!F37:F37)&gt;0,1,0)</f>
        <v>1</v>
      </c>
      <c r="J6" s="295" t="str">
        <f>IF(MIN('Input &amp; output'!B37:B38,'Input &amp; output'!F37:F37),"Alle effectieve profielmaten zijn positief","Enkele effectieve profielmaten zijn negatief")</f>
        <v>Alle effectieve profielmaten zijn positief</v>
      </c>
      <c r="K6" s="295"/>
      <c r="L6" s="295"/>
      <c r="M6" s="88"/>
      <c r="N6" s="5"/>
      <c r="O6" s="5"/>
      <c r="P6" s="5"/>
      <c r="Q6" s="5"/>
    </row>
    <row r="7" spans="1:17" ht="18.75" customHeight="1" thickBot="1">
      <c r="A7" s="222" t="s">
        <v>111</v>
      </c>
      <c r="B7" s="207">
        <f>'Input &amp; output'!H6</f>
        <v>350</v>
      </c>
      <c r="C7" s="88" t="s">
        <v>14</v>
      </c>
      <c r="D7" s="17"/>
      <c r="F7" s="224" t="s">
        <v>1</v>
      </c>
      <c r="G7" s="65">
        <f>'Input &amp; output'!B7</f>
        <v>-0.5</v>
      </c>
      <c r="H7" s="25" t="s">
        <v>3</v>
      </c>
      <c r="I7" s="127"/>
      <c r="J7" s="5"/>
      <c r="K7" s="5"/>
      <c r="L7" s="5"/>
      <c r="M7" s="5"/>
      <c r="N7" s="5"/>
      <c r="O7" s="5"/>
      <c r="P7" s="5"/>
      <c r="Q7" s="5"/>
    </row>
    <row r="8" spans="1:17" ht="18.75" customHeight="1">
      <c r="A8" s="222" t="s">
        <v>120</v>
      </c>
      <c r="B8" s="207">
        <f>'Input &amp; output'!H7</f>
        <v>1</v>
      </c>
      <c r="C8" s="88"/>
      <c r="D8" s="17"/>
      <c r="F8" s="6"/>
      <c r="G8" s="6"/>
      <c r="H8" s="6"/>
      <c r="I8" s="5"/>
      <c r="J8" s="307" t="str">
        <f>IF(SUM(I4:I6)=3,"Profiel fysisch mogelijk","Profiel fysisch niet mogelijk")</f>
        <v>Profiel fysisch mogelijk</v>
      </c>
      <c r="K8" s="307"/>
      <c r="L8" s="307"/>
      <c r="M8" s="43"/>
      <c r="N8" s="5"/>
      <c r="O8" s="5"/>
      <c r="P8" s="5"/>
      <c r="Q8" s="5"/>
    </row>
    <row r="9" spans="1:17" ht="18.75" customHeight="1" thickBot="1">
      <c r="A9" s="223" t="s">
        <v>121</v>
      </c>
      <c r="B9" s="208">
        <f>'Input &amp; output'!H8</f>
        <v>1</v>
      </c>
      <c r="C9" s="209"/>
      <c r="D9" s="25"/>
      <c r="I9" s="5"/>
      <c r="J9" s="5"/>
      <c r="K9" s="5"/>
      <c r="L9" s="6"/>
      <c r="M9" s="6"/>
      <c r="N9" s="6"/>
      <c r="O9" s="6"/>
      <c r="P9" s="5"/>
      <c r="Q9" s="5"/>
    </row>
    <row r="10" spans="1:17" ht="14.25" customHeight="1">
      <c r="A10" s="5"/>
      <c r="B10" s="34"/>
      <c r="C10" s="34"/>
      <c r="D10" s="34"/>
      <c r="I10" s="5"/>
      <c r="J10" s="5"/>
      <c r="K10" s="5"/>
      <c r="L10" s="5"/>
      <c r="M10" s="6"/>
      <c r="N10" s="6"/>
      <c r="O10" s="6"/>
      <c r="P10" s="5"/>
      <c r="Q10" s="5"/>
    </row>
    <row r="11" spans="1:17" ht="14.25" customHeight="1">
      <c r="A11" s="6"/>
      <c r="B11" s="5"/>
      <c r="C11" s="5"/>
      <c r="D11" s="8"/>
      <c r="E11" s="9"/>
      <c r="F11" s="5"/>
      <c r="G11" s="5"/>
      <c r="H11" s="5"/>
      <c r="I11" s="5"/>
      <c r="J11" s="5"/>
      <c r="L11" s="5"/>
      <c r="M11" s="6"/>
      <c r="N11" s="6"/>
      <c r="O11" s="6"/>
      <c r="P11" s="5"/>
      <c r="Q11" s="5"/>
    </row>
    <row r="12" spans="1:17" ht="18.75" customHeight="1">
      <c r="A12" s="40" t="s">
        <v>33</v>
      </c>
      <c r="B12" s="34"/>
      <c r="C12" s="34"/>
      <c r="D12" s="34"/>
      <c r="E12" s="34"/>
      <c r="F12" s="34"/>
      <c r="G12" s="5"/>
      <c r="H12" s="5"/>
      <c r="I12" s="5"/>
      <c r="J12" s="77"/>
      <c r="K12" s="261"/>
      <c r="L12" s="5"/>
      <c r="M12" s="5"/>
      <c r="N12" s="116"/>
      <c r="O12" s="53"/>
      <c r="P12" s="5"/>
      <c r="Q12" s="5"/>
    </row>
    <row r="13" spans="1:17" ht="18.75" customHeight="1">
      <c r="A13" s="307" t="s">
        <v>127</v>
      </c>
      <c r="B13" s="307"/>
      <c r="C13" s="34">
        <f>G7</f>
        <v>-0.5</v>
      </c>
      <c r="D13" s="85" t="s">
        <v>34</v>
      </c>
      <c r="E13" s="44">
        <f>5*G6</f>
        <v>5</v>
      </c>
      <c r="F13" s="309" t="str">
        <f>IF(C13&lt;=E13,IF(C14&lt;=E14,"Invl. afrondingsstralen mag worden genegeerd","Invl. afrondingsstralen mag niet worden genegeerd"),"Invl. afrondingsstralen mag niet worden genegeerd")</f>
        <v>Invl. afrondingsstralen mag worden genegeerd</v>
      </c>
      <c r="G13" s="309"/>
      <c r="H13" s="309"/>
      <c r="I13" s="309"/>
      <c r="K13" s="262" t="s">
        <v>55</v>
      </c>
      <c r="L13" s="5"/>
      <c r="Q13" s="5"/>
    </row>
    <row r="14" spans="1:17" ht="18.75" customHeight="1">
      <c r="A14" s="310" t="s">
        <v>128</v>
      </c>
      <c r="B14" s="311"/>
      <c r="C14" s="34">
        <f>G7</f>
        <v>-0.5</v>
      </c>
      <c r="D14" s="85" t="s">
        <v>34</v>
      </c>
      <c r="E14" s="44">
        <f>0.1*MIN(B29,D29)</f>
        <v>4.95</v>
      </c>
      <c r="F14" s="309"/>
      <c r="G14" s="309"/>
      <c r="H14" s="309"/>
      <c r="I14" s="309"/>
      <c r="K14" s="262" t="s">
        <v>55</v>
      </c>
      <c r="L14" s="5"/>
      <c r="M14" s="5"/>
      <c r="N14" s="61"/>
      <c r="P14" s="5"/>
      <c r="Q14" s="5"/>
    </row>
    <row r="15" spans="1:17" ht="18.75" customHeight="1">
      <c r="A15" s="98"/>
      <c r="B15" s="98"/>
      <c r="C15" s="34"/>
      <c r="D15" s="85"/>
      <c r="E15" s="44"/>
      <c r="F15" s="106"/>
      <c r="G15" s="106"/>
      <c r="H15" s="106"/>
      <c r="I15" s="106"/>
      <c r="K15" s="82"/>
      <c r="L15" s="5"/>
      <c r="M15" s="5"/>
      <c r="N15" s="61"/>
      <c r="P15" s="5"/>
      <c r="Q15" s="5"/>
    </row>
    <row r="16" spans="1:17" ht="18.75" customHeight="1" thickBot="1">
      <c r="A16" s="6"/>
      <c r="B16" s="35"/>
      <c r="C16" s="6"/>
      <c r="D16" s="34"/>
      <c r="E16" s="35"/>
      <c r="F16" s="44"/>
      <c r="G16" s="31"/>
      <c r="H16" s="31"/>
      <c r="I16" s="31"/>
      <c r="J16" s="31"/>
      <c r="K16" s="31"/>
      <c r="L16" s="5"/>
      <c r="M16" s="5"/>
      <c r="N16" s="6"/>
      <c r="O16" s="5"/>
      <c r="P16" s="5"/>
      <c r="Q16" s="5"/>
    </row>
    <row r="17" spans="1:29" ht="14.25" customHeight="1" thickBot="1">
      <c r="A17" s="47" t="s">
        <v>0</v>
      </c>
      <c r="B17" s="48"/>
      <c r="C17" s="49"/>
      <c r="D17" s="49"/>
      <c r="F17" s="7"/>
      <c r="G17" s="8"/>
      <c r="H17" s="8"/>
      <c r="I17" s="8"/>
      <c r="J17" s="8"/>
      <c r="K17" s="8"/>
      <c r="L17" s="8"/>
      <c r="M17" s="5"/>
      <c r="N17" s="6"/>
      <c r="O17" s="6"/>
      <c r="P17" s="8"/>
      <c r="Q17" s="5"/>
    </row>
    <row r="18" spans="1:29" ht="18.75" customHeight="1">
      <c r="A18" s="222" t="s">
        <v>129</v>
      </c>
      <c r="B18" s="67">
        <f>G7+G6/2</f>
        <v>0</v>
      </c>
      <c r="C18" s="6" t="s">
        <v>3</v>
      </c>
      <c r="D18" s="17"/>
      <c r="F18" s="6"/>
      <c r="G18" s="53"/>
      <c r="H18" s="255" t="s">
        <v>160</v>
      </c>
      <c r="I18" s="255"/>
      <c r="J18" s="255"/>
      <c r="K18" s="255"/>
      <c r="L18" s="255"/>
      <c r="M18" s="255"/>
      <c r="N18" s="256"/>
      <c r="O18" s="257"/>
    </row>
    <row r="19" spans="1:29" s="143" customFormat="1" ht="18.75" customHeight="1">
      <c r="A19" s="222" t="s">
        <v>130</v>
      </c>
      <c r="B19" s="68">
        <f>B18*(TAN(45*PI()/180)-SIN(45*PI()/180))</f>
        <v>0</v>
      </c>
      <c r="C19" s="6" t="s">
        <v>3</v>
      </c>
      <c r="D19" s="17"/>
      <c r="E19"/>
      <c r="F19" s="116"/>
      <c r="G19" s="53"/>
      <c r="H19" s="255" t="s">
        <v>161</v>
      </c>
      <c r="I19" s="255"/>
      <c r="J19" s="255"/>
      <c r="K19" s="255"/>
      <c r="L19" s="255"/>
      <c r="M19" s="255"/>
      <c r="N19" s="256"/>
      <c r="O19" s="257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143" customFormat="1" ht="14.25" customHeight="1">
      <c r="A20" s="227" t="s">
        <v>131</v>
      </c>
      <c r="B20" s="68">
        <f>0.5*PI()*B18</f>
        <v>0</v>
      </c>
      <c r="C20" s="6" t="s">
        <v>3</v>
      </c>
      <c r="D20" s="17"/>
      <c r="E20"/>
      <c r="F20" s="116"/>
      <c r="G20" s="53"/>
      <c r="H20" s="255" t="s">
        <v>192</v>
      </c>
      <c r="I20" s="255"/>
      <c r="J20" s="255"/>
      <c r="K20" s="255"/>
      <c r="L20" s="255"/>
      <c r="M20" s="255"/>
      <c r="N20" s="256"/>
      <c r="O20" s="257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ht="18.75" customHeight="1">
      <c r="A21" s="222" t="s">
        <v>132</v>
      </c>
      <c r="B21" s="68">
        <f>0.637*B18</f>
        <v>0</v>
      </c>
      <c r="C21" s="6" t="s">
        <v>3</v>
      </c>
      <c r="D21" s="17"/>
      <c r="F21" s="116"/>
      <c r="G21" s="53"/>
      <c r="H21" s="255" t="s">
        <v>162</v>
      </c>
      <c r="I21" s="255"/>
      <c r="J21" s="255"/>
      <c r="K21" s="255"/>
      <c r="L21" s="255"/>
      <c r="M21" s="255"/>
      <c r="N21" s="255"/>
      <c r="O21" s="257"/>
    </row>
    <row r="22" spans="1:29" ht="18.75" customHeight="1">
      <c r="A22" s="222" t="s">
        <v>133</v>
      </c>
      <c r="B22" s="68">
        <f>0.149*(POWER(B18,3)*G6)</f>
        <v>0</v>
      </c>
      <c r="C22" s="165" t="s">
        <v>17</v>
      </c>
      <c r="D22" s="17"/>
      <c r="E22" s="34"/>
      <c r="F22" s="6"/>
      <c r="G22" s="6"/>
      <c r="H22" s="255" t="s">
        <v>163</v>
      </c>
      <c r="I22" s="255"/>
      <c r="J22" s="255"/>
      <c r="K22" s="255"/>
      <c r="L22" s="255"/>
      <c r="M22" s="255"/>
      <c r="N22" s="255"/>
      <c r="O22" s="257"/>
    </row>
    <row r="23" spans="1:29" ht="18.75" customHeight="1" thickBot="1">
      <c r="A23" s="224" t="s">
        <v>134</v>
      </c>
      <c r="B23" s="69">
        <f>B20*G6</f>
        <v>0</v>
      </c>
      <c r="C23" s="166" t="s">
        <v>7</v>
      </c>
      <c r="D23" s="25"/>
      <c r="E23" s="34"/>
      <c r="F23" s="6"/>
      <c r="G23" s="6"/>
      <c r="H23" s="275" t="s">
        <v>193</v>
      </c>
      <c r="I23" s="255"/>
      <c r="J23" s="255"/>
      <c r="K23" s="255"/>
      <c r="L23" s="255"/>
      <c r="M23" s="255"/>
      <c r="N23" s="255"/>
      <c r="O23" s="257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</row>
    <row r="24" spans="1:29" ht="14.25" customHeight="1" thickBot="1">
      <c r="A24" s="125" t="str">
        <f>IF(B18=0,"Let op! Er wordt gerekend met rechte hoeken!"," ")</f>
        <v>Let op! Er wordt gerekend met rechte hoeken!</v>
      </c>
      <c r="B24" s="53"/>
      <c r="C24" s="6"/>
      <c r="D24" s="34"/>
      <c r="E24" s="34"/>
      <c r="F24" s="34"/>
      <c r="G24" s="34"/>
      <c r="H24" s="34"/>
      <c r="I24" s="34"/>
      <c r="J24" s="34"/>
      <c r="K24" s="255"/>
      <c r="L24" s="255"/>
      <c r="M24" s="255"/>
      <c r="N24" s="255"/>
      <c r="O24" s="255"/>
      <c r="P24" s="255"/>
      <c r="Q24" s="255"/>
      <c r="R24" s="257"/>
    </row>
    <row r="25" spans="1:29" ht="14.25" customHeight="1" thickBot="1">
      <c r="A25" s="47" t="s">
        <v>24</v>
      </c>
      <c r="B25" s="48"/>
      <c r="C25" s="48"/>
      <c r="D25" s="49"/>
      <c r="E25" s="34"/>
      <c r="F25" s="34"/>
      <c r="G25" s="34"/>
      <c r="H25" s="34"/>
      <c r="I25" s="34"/>
      <c r="J25" s="34"/>
      <c r="K25" s="255"/>
      <c r="L25" s="255"/>
      <c r="M25" s="255"/>
      <c r="N25" s="255"/>
      <c r="O25" s="255"/>
      <c r="P25" s="255"/>
      <c r="Q25" s="255"/>
      <c r="R25" s="257"/>
    </row>
    <row r="26" spans="1:29" ht="18.75" customHeight="1">
      <c r="A26" s="214" t="s">
        <v>4</v>
      </c>
      <c r="B26" s="67">
        <f>G4</f>
        <v>100</v>
      </c>
      <c r="C26" s="237" t="s">
        <v>5</v>
      </c>
      <c r="D26" s="70">
        <f>G5</f>
        <v>50</v>
      </c>
      <c r="E26" s="34"/>
      <c r="F26" s="34"/>
      <c r="G26" s="34"/>
      <c r="H26" s="34"/>
      <c r="I26" s="34"/>
      <c r="J26" s="34"/>
      <c r="K26" s="255"/>
      <c r="L26" s="255"/>
      <c r="M26" s="255"/>
      <c r="N26" s="255"/>
      <c r="O26" s="255"/>
      <c r="P26" s="255"/>
      <c r="Q26" s="255"/>
      <c r="R26" s="257"/>
      <c r="S26" s="156"/>
      <c r="T26" s="156"/>
      <c r="U26" s="156"/>
      <c r="V26" s="156"/>
      <c r="W26" s="156"/>
      <c r="X26" s="156"/>
      <c r="Y26" s="156"/>
      <c r="Z26" s="156"/>
      <c r="AA26" s="156"/>
      <c r="AB26" s="156"/>
      <c r="AC26" s="156"/>
    </row>
    <row r="27" spans="1:29" ht="18.75" customHeight="1">
      <c r="A27" s="229" t="s">
        <v>112</v>
      </c>
      <c r="B27" s="68">
        <f>B26-G6</f>
        <v>99</v>
      </c>
      <c r="C27" s="243" t="s">
        <v>115</v>
      </c>
      <c r="D27" s="71">
        <f>D26-(G6/2)</f>
        <v>49.5</v>
      </c>
      <c r="E27" s="34"/>
      <c r="F27" s="255" t="s">
        <v>164</v>
      </c>
      <c r="G27" s="255"/>
      <c r="H27" s="255" t="s">
        <v>165</v>
      </c>
      <c r="I27" s="255"/>
      <c r="J27" s="255"/>
      <c r="K27" s="255"/>
      <c r="L27" s="255"/>
      <c r="M27" s="257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</row>
    <row r="28" spans="1:29" ht="18.75" customHeight="1">
      <c r="A28" s="229" t="s">
        <v>113</v>
      </c>
      <c r="B28" s="68">
        <f>B27-(2*B18)</f>
        <v>99</v>
      </c>
      <c r="C28" s="243" t="s">
        <v>116</v>
      </c>
      <c r="D28" s="71">
        <f>D27-B18</f>
        <v>49.5</v>
      </c>
      <c r="E28" s="34"/>
      <c r="F28" s="255" t="s">
        <v>166</v>
      </c>
      <c r="G28" s="255"/>
      <c r="H28" s="255" t="s">
        <v>167</v>
      </c>
      <c r="I28" s="255"/>
      <c r="J28" s="255"/>
      <c r="K28" s="255"/>
      <c r="L28" s="255"/>
      <c r="M28" s="257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</row>
    <row r="29" spans="1:29" ht="18.75" customHeight="1" thickBot="1">
      <c r="A29" s="228" t="s">
        <v>114</v>
      </c>
      <c r="B29" s="69">
        <f>B27-(2*B19)</f>
        <v>99</v>
      </c>
      <c r="C29" s="244" t="s">
        <v>117</v>
      </c>
      <c r="D29" s="142">
        <f>D27-B19</f>
        <v>49.5</v>
      </c>
      <c r="E29" s="34"/>
      <c r="F29" s="255" t="s">
        <v>168</v>
      </c>
      <c r="G29" s="255"/>
      <c r="H29" s="255" t="s">
        <v>169</v>
      </c>
      <c r="I29" s="255"/>
      <c r="J29" s="255"/>
      <c r="K29" s="255"/>
      <c r="L29" s="255"/>
      <c r="M29" s="257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</row>
    <row r="30" spans="1:29" ht="18.75" customHeight="1">
      <c r="A30" s="116"/>
      <c r="B30" s="53"/>
      <c r="C30" s="116"/>
      <c r="D30" s="53"/>
      <c r="E30" s="34"/>
      <c r="F30" s="34"/>
      <c r="G30" s="34"/>
      <c r="H30" s="34"/>
      <c r="I30" s="34"/>
      <c r="J30" s="34"/>
      <c r="K30" s="259"/>
      <c r="L30" s="256"/>
      <c r="M30" s="255"/>
      <c r="N30" s="255"/>
      <c r="O30" s="255"/>
      <c r="P30" s="255"/>
      <c r="Q30" s="255"/>
      <c r="R30" s="257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</row>
    <row r="31" spans="1:29" ht="18.75" customHeight="1" thickBot="1">
      <c r="A31" s="8"/>
      <c r="B31" s="53"/>
      <c r="C31" s="6"/>
      <c r="D31" s="34"/>
      <c r="E31" s="34"/>
      <c r="F31" s="34"/>
      <c r="G31" s="34"/>
      <c r="H31" s="34"/>
      <c r="I31" s="34"/>
      <c r="J31" s="34"/>
      <c r="K31" s="255"/>
      <c r="L31" s="255"/>
      <c r="M31" s="255"/>
      <c r="N31" s="255"/>
      <c r="O31" s="255"/>
      <c r="P31" s="255"/>
      <c r="Q31" s="255"/>
      <c r="R31" s="257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</row>
    <row r="32" spans="1:29" s="154" customFormat="1" ht="18.75" customHeight="1" thickBot="1">
      <c r="A32" s="279" t="s">
        <v>198</v>
      </c>
      <c r="B32" s="48"/>
      <c r="C32" s="48"/>
      <c r="D32" s="48"/>
      <c r="E32" s="52"/>
      <c r="F32" s="48"/>
      <c r="G32" s="48"/>
      <c r="H32" s="49"/>
      <c r="I32" s="5"/>
      <c r="J32" s="5"/>
      <c r="K32" s="215"/>
      <c r="L32" s="215"/>
      <c r="M32" s="255"/>
      <c r="N32" s="255"/>
      <c r="O32" s="255"/>
      <c r="P32" s="255"/>
      <c r="Q32" s="255"/>
      <c r="R32" s="257"/>
      <c r="S32"/>
      <c r="T32"/>
      <c r="U32"/>
      <c r="V32"/>
      <c r="W32"/>
      <c r="X32"/>
      <c r="Y32"/>
      <c r="Z32"/>
      <c r="AA32"/>
      <c r="AB32"/>
      <c r="AC32"/>
    </row>
    <row r="33" spans="1:29" ht="14.25" customHeight="1">
      <c r="A33" s="267" t="s">
        <v>186</v>
      </c>
      <c r="B33" s="148"/>
      <c r="C33" s="148"/>
      <c r="D33" s="280" t="s">
        <v>187</v>
      </c>
      <c r="E33" s="149"/>
      <c r="F33" s="149"/>
      <c r="G33" s="150"/>
      <c r="H33" s="164"/>
      <c r="I33" s="5"/>
      <c r="J33" s="5"/>
      <c r="K33" s="255"/>
      <c r="L33" s="255"/>
      <c r="M33" s="255"/>
      <c r="N33" s="255"/>
      <c r="O33" s="255"/>
      <c r="P33" s="255"/>
      <c r="Q33" s="255"/>
      <c r="R33" s="257"/>
    </row>
    <row r="34" spans="1:29" ht="18.75" customHeight="1">
      <c r="A34" s="230" t="s">
        <v>135</v>
      </c>
      <c r="B34" s="68">
        <f>(2*D27*G6)+(G6*B27)</f>
        <v>198</v>
      </c>
      <c r="C34" s="74" t="s">
        <v>7</v>
      </c>
      <c r="D34" s="234" t="s">
        <v>136</v>
      </c>
      <c r="E34" s="68">
        <f>(G6*B28)+(2*D28*G6)+(B23*2)</f>
        <v>198</v>
      </c>
      <c r="F34" s="83" t="s">
        <v>7</v>
      </c>
      <c r="G34" s="2"/>
      <c r="H34" s="17"/>
      <c r="I34" s="34"/>
      <c r="J34" s="258" t="s">
        <v>170</v>
      </c>
      <c r="K34" s="255"/>
      <c r="L34" s="255"/>
      <c r="M34" s="255"/>
      <c r="N34" s="255"/>
      <c r="O34" s="255"/>
      <c r="P34" s="255"/>
      <c r="Q34" s="257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</row>
    <row r="35" spans="1:29" s="156" customFormat="1" ht="18.75" customHeight="1">
      <c r="A35" s="231" t="s">
        <v>94</v>
      </c>
      <c r="B35" s="68">
        <f>((2*D27*G6*(0.5*D27))/B34)</f>
        <v>12.375</v>
      </c>
      <c r="C35" s="74" t="s">
        <v>3</v>
      </c>
      <c r="D35" s="235" t="s">
        <v>51</v>
      </c>
      <c r="E35" s="68">
        <f>((2*B23*B19)+(2*D28*G6*(D27-(0.5*D28))))/E34</f>
        <v>12.375</v>
      </c>
      <c r="F35" s="84" t="s">
        <v>3</v>
      </c>
      <c r="G35" s="2"/>
      <c r="H35" s="17"/>
      <c r="I35" s="170"/>
      <c r="J35" s="258" t="s">
        <v>171</v>
      </c>
      <c r="K35" s="255"/>
      <c r="L35" s="255"/>
      <c r="M35" s="255"/>
      <c r="N35" s="255"/>
      <c r="O35" s="255"/>
      <c r="P35" s="255"/>
      <c r="Q35" s="257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</row>
    <row r="36" spans="1:29" s="156" customFormat="1" ht="18.75" customHeight="1">
      <c r="A36" s="231" t="s">
        <v>95</v>
      </c>
      <c r="B36" s="68">
        <f>B27/2</f>
        <v>49.5</v>
      </c>
      <c r="C36" s="74" t="s">
        <v>3</v>
      </c>
      <c r="D36" s="235" t="s">
        <v>107</v>
      </c>
      <c r="E36" s="68">
        <f>B27/2</f>
        <v>49.5</v>
      </c>
      <c r="F36" s="83" t="s">
        <v>3</v>
      </c>
      <c r="G36" s="2"/>
      <c r="H36" s="17"/>
      <c r="I36" s="170"/>
      <c r="J36" s="258" t="s">
        <v>172</v>
      </c>
      <c r="K36" s="255"/>
      <c r="L36" s="255"/>
      <c r="M36" s="255"/>
      <c r="N36" s="255"/>
      <c r="O36" s="255"/>
      <c r="P36" s="255"/>
      <c r="Q36" s="257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</row>
    <row r="37" spans="1:29" s="156" customFormat="1" ht="18.75" customHeight="1">
      <c r="A37" s="232" t="s">
        <v>100</v>
      </c>
      <c r="B37" s="184">
        <f>(2*((D27*G6*POWER((B27/2),2))))+((1/12)*G6*POWER(B27,3))</f>
        <v>323433</v>
      </c>
      <c r="C37" s="168" t="s">
        <v>17</v>
      </c>
      <c r="D37" s="235" t="s">
        <v>137</v>
      </c>
      <c r="E37" s="184">
        <f>(2*((D28*G6*POWER((B27/2),2))))+((1/12)*G6*POWER(B28,3))+(2*(B22+(B23*POWER(((B28/2)+B21),2))))</f>
        <v>323433</v>
      </c>
      <c r="F37" s="167" t="s">
        <v>17</v>
      </c>
      <c r="G37" s="2"/>
      <c r="H37" s="17"/>
      <c r="I37" s="170"/>
      <c r="J37" s="258" t="s">
        <v>173</v>
      </c>
      <c r="K37" s="255"/>
      <c r="L37" s="255"/>
      <c r="M37" s="255"/>
      <c r="N37" s="255"/>
      <c r="O37" s="255"/>
      <c r="P37" s="255"/>
      <c r="Q37" s="257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</row>
    <row r="38" spans="1:29" s="156" customFormat="1" ht="18.75" customHeight="1">
      <c r="A38" s="232" t="s">
        <v>101</v>
      </c>
      <c r="B38" s="184">
        <f>(2*(((1/12)*G6*POWER(D27,3))+(G6*D27*(((D27/2)-B35)^2))))+(B27*G6*(B35^2))</f>
        <v>50536.40625</v>
      </c>
      <c r="C38" s="168" t="s">
        <v>17</v>
      </c>
      <c r="D38" s="235" t="s">
        <v>106</v>
      </c>
      <c r="E38" s="184">
        <f>(((B28*G6*POWER(E35,2)))+(2*(B22+(B23*POWER((E35-(B18-B21)),2))))+(2*(((1/12)*G6*POWER(D28,3))+(D28*G6*POWER((D27-(D28/2)-E35),2)))))</f>
        <v>50536.40625</v>
      </c>
      <c r="F38" s="167" t="s">
        <v>17</v>
      </c>
      <c r="G38" s="2"/>
      <c r="H38" s="17"/>
      <c r="I38" s="170"/>
      <c r="J38" s="258" t="s">
        <v>174</v>
      </c>
      <c r="K38" s="255"/>
      <c r="L38" s="255"/>
      <c r="M38" s="255"/>
      <c r="N38" s="255"/>
      <c r="O38" s="255"/>
      <c r="P38" s="255"/>
      <c r="Q38" s="257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</row>
    <row r="39" spans="1:29" s="169" customFormat="1" ht="18.75" customHeight="1">
      <c r="A39" s="232" t="s">
        <v>102</v>
      </c>
      <c r="B39" s="68">
        <f>SQRT(B37/B34)</f>
        <v>40.416580755922439</v>
      </c>
      <c r="C39" s="74" t="s">
        <v>3</v>
      </c>
      <c r="D39" s="235" t="s">
        <v>105</v>
      </c>
      <c r="E39" s="68">
        <f>SQRT(E37/E34)</f>
        <v>40.416580755922439</v>
      </c>
      <c r="F39" s="84" t="s">
        <v>3</v>
      </c>
      <c r="G39" s="2"/>
      <c r="H39" s="17"/>
      <c r="I39" s="170"/>
      <c r="J39" s="258" t="s">
        <v>175</v>
      </c>
      <c r="K39" s="255"/>
      <c r="L39" s="255"/>
      <c r="M39" s="255"/>
      <c r="N39" s="255"/>
      <c r="O39" s="255"/>
      <c r="P39" s="255"/>
      <c r="Q39" s="257"/>
    </row>
    <row r="40" spans="1:29" s="156" customFormat="1" ht="20.25" thickBot="1">
      <c r="A40" s="233" t="s">
        <v>103</v>
      </c>
      <c r="B40" s="69">
        <f>SQRT(B38/B34)</f>
        <v>15.976056303105594</v>
      </c>
      <c r="C40" s="66" t="s">
        <v>3</v>
      </c>
      <c r="D40" s="236" t="s">
        <v>104</v>
      </c>
      <c r="E40" s="69">
        <f>SQRT(E38/E34)</f>
        <v>15.976056303105594</v>
      </c>
      <c r="F40" s="102" t="s">
        <v>3</v>
      </c>
      <c r="G40" s="3"/>
      <c r="H40" s="25"/>
      <c r="I40" s="37"/>
      <c r="J40" s="258" t="s">
        <v>176</v>
      </c>
      <c r="K40" s="255"/>
      <c r="L40" s="255"/>
      <c r="M40" s="255"/>
      <c r="N40" s="255"/>
      <c r="O40" s="255"/>
      <c r="P40" s="255"/>
      <c r="Q40" s="257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</row>
    <row r="41" spans="1:29" ht="18.75" customHeight="1">
      <c r="A41" s="36"/>
      <c r="B41" s="8"/>
      <c r="C41" s="8"/>
      <c r="D41" s="8"/>
      <c r="E41" s="36"/>
      <c r="F41" s="53"/>
      <c r="G41" s="8"/>
      <c r="H41" s="6"/>
      <c r="I41" s="34"/>
      <c r="J41" s="37"/>
      <c r="K41" s="6"/>
      <c r="L41" s="6"/>
      <c r="M41" s="6"/>
      <c r="N41" s="153"/>
      <c r="O41" s="5"/>
      <c r="P41" s="5"/>
      <c r="Q41" s="5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</row>
    <row r="42" spans="1:29" ht="18.75" customHeight="1">
      <c r="A42" s="36"/>
      <c r="B42" s="8"/>
      <c r="C42" s="8"/>
      <c r="D42" s="8"/>
      <c r="E42" s="36"/>
      <c r="F42" s="53"/>
      <c r="G42" s="8"/>
      <c r="H42" s="6"/>
      <c r="I42" s="34"/>
      <c r="J42" s="37"/>
      <c r="K42" s="6"/>
      <c r="L42" s="6"/>
      <c r="M42" s="6"/>
      <c r="N42" s="169"/>
      <c r="O42" s="5"/>
      <c r="P42" s="5"/>
      <c r="Q42" s="5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</row>
    <row r="43" spans="1:29" s="169" customFormat="1" ht="18.75" customHeight="1">
      <c r="A43" s="36"/>
      <c r="B43" s="8"/>
      <c r="C43" s="8"/>
      <c r="D43" s="8"/>
      <c r="E43" s="36"/>
      <c r="F43" s="53"/>
      <c r="G43" s="8"/>
      <c r="H43" s="6"/>
      <c r="I43" s="34"/>
      <c r="J43" s="37"/>
      <c r="K43" s="6"/>
      <c r="L43" s="6"/>
      <c r="M43" s="6"/>
      <c r="N43" s="153"/>
      <c r="O43" s="5"/>
      <c r="P43" s="5"/>
      <c r="Q43" s="5"/>
    </row>
    <row r="44" spans="1:29" s="169" customFormat="1" ht="18.75" customHeight="1">
      <c r="A44" s="36"/>
      <c r="B44" s="8"/>
      <c r="C44" s="8"/>
      <c r="D44" s="8"/>
      <c r="E44" s="36"/>
      <c r="F44" s="53"/>
      <c r="G44" s="8"/>
      <c r="H44" s="6"/>
      <c r="I44" s="34"/>
      <c r="J44" s="37"/>
      <c r="K44" s="6"/>
      <c r="L44" s="6"/>
      <c r="M44" s="6"/>
      <c r="O44" s="5"/>
      <c r="P44" s="5"/>
      <c r="Q44" s="5"/>
    </row>
    <row r="45" spans="1:29" s="169" customFormat="1" ht="18.75" customHeight="1">
      <c r="A45" s="36"/>
      <c r="B45" s="8"/>
      <c r="C45" s="8"/>
      <c r="D45" s="8"/>
      <c r="E45" s="36"/>
      <c r="F45" s="53"/>
      <c r="G45" s="8"/>
      <c r="H45" s="6"/>
      <c r="I45" s="34"/>
      <c r="J45" s="37"/>
      <c r="K45" s="6"/>
      <c r="L45" s="6"/>
      <c r="M45" s="6"/>
      <c r="N45" s="153"/>
      <c r="O45" s="5"/>
      <c r="P45" s="5"/>
      <c r="Q45" s="5"/>
    </row>
    <row r="46" spans="1:29" s="169" customFormat="1" ht="18.75" customHeight="1">
      <c r="A46" s="36"/>
      <c r="B46" s="8"/>
      <c r="C46" s="8"/>
      <c r="D46" s="8"/>
      <c r="E46" s="36"/>
      <c r="F46" s="53"/>
      <c r="G46" s="8"/>
      <c r="H46" s="6"/>
      <c r="I46" s="34"/>
      <c r="J46" s="37"/>
      <c r="K46" s="6"/>
      <c r="L46" s="6"/>
      <c r="M46" s="6"/>
      <c r="O46" s="5"/>
      <c r="P46" s="5"/>
      <c r="Q46" s="5"/>
    </row>
    <row r="47" spans="1:29" s="169" customFormat="1" ht="18.75" customHeight="1">
      <c r="A47" s="36"/>
      <c r="B47" s="8"/>
      <c r="C47" s="8"/>
      <c r="D47" s="8"/>
      <c r="E47" s="36"/>
      <c r="F47" s="53"/>
      <c r="G47" s="8"/>
      <c r="H47" s="6"/>
      <c r="I47" s="34"/>
      <c r="J47" s="37"/>
      <c r="K47" s="6"/>
      <c r="L47" s="6"/>
      <c r="M47" s="6"/>
      <c r="N47" s="153"/>
      <c r="O47" s="5"/>
      <c r="P47" s="5"/>
      <c r="Q47" s="5"/>
    </row>
    <row r="48" spans="1:29" s="169" customFormat="1" ht="18.75" customHeight="1">
      <c r="A48" s="36"/>
      <c r="B48" s="8"/>
      <c r="C48" s="8"/>
      <c r="D48" s="8"/>
      <c r="E48" s="36"/>
      <c r="F48" s="53"/>
      <c r="G48" s="8"/>
      <c r="H48" s="6"/>
      <c r="I48" s="34"/>
      <c r="J48" s="37"/>
      <c r="K48" s="6"/>
      <c r="L48" s="6"/>
      <c r="M48" s="6"/>
      <c r="N48" s="5"/>
      <c r="O48" s="5"/>
      <c r="P48" s="5"/>
      <c r="Q48" s="5"/>
      <c r="R48"/>
      <c r="S48"/>
      <c r="T48"/>
      <c r="U48"/>
      <c r="V48"/>
      <c r="W48"/>
      <c r="X48"/>
      <c r="Y48"/>
      <c r="Z48"/>
      <c r="AA48"/>
      <c r="AB48"/>
      <c r="AC48"/>
    </row>
    <row r="49" spans="1:29" s="169" customFormat="1" ht="18.75" customHeight="1">
      <c r="A49" s="36"/>
      <c r="B49" s="8"/>
      <c r="C49" s="8"/>
      <c r="D49" s="8"/>
      <c r="E49" s="36"/>
      <c r="F49" s="53"/>
      <c r="G49" s="8"/>
      <c r="H49" s="6"/>
      <c r="I49" s="34"/>
      <c r="J49" s="37"/>
      <c r="K49" s="6"/>
      <c r="L49" s="6"/>
      <c r="M49" s="6"/>
      <c r="N49" s="5"/>
      <c r="O49" s="5"/>
      <c r="P49" s="5"/>
      <c r="Q49" s="5"/>
      <c r="R49"/>
      <c r="S49"/>
      <c r="T49"/>
      <c r="U49"/>
      <c r="V49"/>
      <c r="W49"/>
      <c r="X49"/>
      <c r="Y49"/>
      <c r="Z49"/>
      <c r="AA49"/>
      <c r="AB49"/>
      <c r="AC49"/>
    </row>
    <row r="50" spans="1:29" s="169" customFormat="1" ht="15.75">
      <c r="A50" s="36"/>
      <c r="B50" s="8"/>
      <c r="C50" s="8"/>
      <c r="D50" s="8"/>
      <c r="E50" s="36"/>
      <c r="F50" s="53"/>
      <c r="G50" s="8"/>
      <c r="H50" s="6"/>
      <c r="I50" s="34"/>
      <c r="J50" s="37"/>
      <c r="K50" s="6"/>
      <c r="L50" s="6"/>
      <c r="M50" s="6"/>
      <c r="N50" s="5"/>
      <c r="O50" s="5"/>
      <c r="P50" s="5"/>
      <c r="Q50" s="5"/>
      <c r="R50"/>
      <c r="S50"/>
      <c r="T50"/>
      <c r="U50"/>
      <c r="V50"/>
      <c r="W50"/>
      <c r="X50"/>
      <c r="Y50"/>
      <c r="Z50"/>
      <c r="AA50"/>
      <c r="AB50"/>
      <c r="AC50"/>
    </row>
    <row r="51" spans="1:29" s="169" customFormat="1" ht="15.75">
      <c r="A51" s="36"/>
      <c r="B51" s="8"/>
      <c r="C51" s="8"/>
      <c r="D51" s="8"/>
      <c r="E51" s="36"/>
      <c r="F51" s="53"/>
      <c r="G51" s="8"/>
      <c r="H51" s="6"/>
      <c r="I51" s="34"/>
      <c r="J51" s="37"/>
      <c r="K51" s="6"/>
      <c r="L51" s="6"/>
      <c r="M51" s="6"/>
      <c r="N51" s="5"/>
      <c r="O51" s="5"/>
      <c r="P51" s="5"/>
      <c r="Q51" s="5"/>
      <c r="R51"/>
      <c r="S51"/>
      <c r="T51"/>
      <c r="U51"/>
      <c r="V51"/>
      <c r="W51"/>
      <c r="X51"/>
      <c r="Y51"/>
      <c r="Z51"/>
      <c r="AA51"/>
      <c r="AB51"/>
      <c r="AC51"/>
    </row>
    <row r="52" spans="1:29" s="169" customFormat="1" ht="15.75">
      <c r="A52" s="36"/>
      <c r="B52" s="8"/>
      <c r="C52" s="8"/>
      <c r="D52" s="8"/>
      <c r="E52" s="36"/>
      <c r="F52" s="53"/>
      <c r="G52" s="8"/>
      <c r="H52" s="6"/>
      <c r="I52" s="34"/>
      <c r="J52" s="37"/>
      <c r="K52" s="6"/>
      <c r="L52" s="6"/>
      <c r="M52" s="6"/>
      <c r="N52" s="5"/>
      <c r="O52" s="5"/>
      <c r="P52" s="5"/>
      <c r="Q52" s="5"/>
      <c r="R52"/>
      <c r="S52"/>
      <c r="T52"/>
      <c r="U52"/>
      <c r="V52"/>
      <c r="W52"/>
      <c r="X52"/>
      <c r="Y52"/>
      <c r="Z52"/>
      <c r="AA52"/>
      <c r="AB52"/>
      <c r="AC52"/>
    </row>
    <row r="53" spans="1:29" s="169" customFormat="1" ht="15.75">
      <c r="A53" s="36"/>
      <c r="B53" s="8"/>
      <c r="C53" s="8"/>
      <c r="D53" s="8"/>
      <c r="E53" s="36"/>
      <c r="F53" s="53"/>
      <c r="G53" s="8"/>
      <c r="H53" s="6"/>
      <c r="I53" s="34"/>
      <c r="J53" s="37"/>
      <c r="K53" s="6"/>
      <c r="L53" s="6"/>
      <c r="M53" s="6"/>
      <c r="N53" s="5"/>
      <c r="O53" s="5"/>
      <c r="P53" s="5"/>
      <c r="Q53" s="5"/>
      <c r="R53"/>
      <c r="S53"/>
      <c r="T53"/>
      <c r="U53"/>
      <c r="V53"/>
      <c r="W53"/>
      <c r="X53"/>
      <c r="Y53"/>
      <c r="Z53"/>
      <c r="AA53"/>
      <c r="AB53"/>
      <c r="AC53"/>
    </row>
    <row r="54" spans="1:29" s="169" customFormat="1" ht="15.75">
      <c r="A54" s="36"/>
      <c r="B54" s="8"/>
      <c r="C54" s="8"/>
      <c r="D54" s="8"/>
      <c r="E54" s="36"/>
      <c r="F54" s="53"/>
      <c r="G54" s="8"/>
      <c r="H54" s="6"/>
      <c r="I54" s="34"/>
      <c r="J54" s="37"/>
      <c r="K54" s="6"/>
      <c r="L54" s="6"/>
      <c r="M54" s="6"/>
      <c r="N54" s="5"/>
      <c r="O54" s="5"/>
      <c r="P54" s="5"/>
      <c r="Q54" s="5"/>
      <c r="R54"/>
      <c r="S54"/>
      <c r="T54"/>
      <c r="U54"/>
      <c r="V54"/>
      <c r="W54"/>
      <c r="X54"/>
      <c r="Y54"/>
      <c r="Z54"/>
      <c r="AA54"/>
      <c r="AB54"/>
      <c r="AC54"/>
    </row>
    <row r="55" spans="1:29" s="169" customFormat="1" ht="15.75">
      <c r="A55" s="36"/>
      <c r="B55" s="8"/>
      <c r="C55" s="8"/>
      <c r="D55" s="8"/>
      <c r="E55" s="36"/>
      <c r="F55" s="53"/>
      <c r="G55" s="8"/>
      <c r="H55" s="6"/>
      <c r="I55" s="34"/>
      <c r="J55" s="37"/>
      <c r="K55" s="6"/>
      <c r="L55" s="6"/>
      <c r="M55" s="6"/>
      <c r="N55" s="5"/>
      <c r="O55" s="5"/>
      <c r="P55" s="5"/>
      <c r="Q55" s="5"/>
      <c r="R55"/>
      <c r="S55"/>
      <c r="T55"/>
      <c r="U55"/>
      <c r="V55"/>
      <c r="W55"/>
      <c r="X55"/>
      <c r="Y55"/>
      <c r="Z55"/>
      <c r="AA55"/>
      <c r="AB55"/>
      <c r="AC55"/>
    </row>
    <row r="56" spans="1:29" s="169" customFormat="1" ht="15.75">
      <c r="A56" s="36"/>
      <c r="B56" s="8"/>
      <c r="C56" s="8"/>
      <c r="D56" s="8"/>
      <c r="E56" s="36"/>
      <c r="F56" s="53"/>
      <c r="G56" s="8"/>
      <c r="H56" s="6"/>
      <c r="I56" s="34"/>
      <c r="J56" s="37"/>
      <c r="K56" s="6"/>
      <c r="L56" s="6"/>
      <c r="M56" s="6"/>
      <c r="N56" s="5"/>
      <c r="O56" s="5"/>
      <c r="P56" s="5"/>
      <c r="Q56" s="5"/>
      <c r="R56"/>
      <c r="S56"/>
      <c r="T56"/>
      <c r="U56"/>
      <c r="V56"/>
      <c r="W56"/>
      <c r="X56"/>
      <c r="Y56"/>
      <c r="Z56"/>
      <c r="AA56"/>
      <c r="AB56"/>
      <c r="AC56"/>
    </row>
    <row r="57" spans="1:29" ht="14.25" customHeight="1">
      <c r="A57" s="36"/>
      <c r="B57" s="8"/>
      <c r="C57" s="8"/>
      <c r="D57" s="8"/>
      <c r="E57" s="36"/>
      <c r="F57" s="53"/>
      <c r="G57" s="8"/>
      <c r="H57" s="6"/>
      <c r="I57" s="34"/>
      <c r="J57" s="37"/>
      <c r="K57" s="6"/>
      <c r="L57" s="6"/>
      <c r="M57" s="6"/>
      <c r="N57" s="5"/>
      <c r="O57" s="5"/>
      <c r="P57" s="5"/>
      <c r="Q57" s="5"/>
    </row>
    <row r="58" spans="1:29" ht="14.25" customHeight="1">
      <c r="A58" s="36"/>
      <c r="B58" s="8"/>
      <c r="C58" s="8"/>
      <c r="D58" s="8"/>
      <c r="E58" s="36"/>
      <c r="F58" s="53"/>
      <c r="G58" s="8"/>
      <c r="H58" s="6"/>
      <c r="I58" s="34"/>
      <c r="J58" s="37"/>
      <c r="K58" s="6"/>
      <c r="L58" s="6"/>
      <c r="M58" s="6"/>
      <c r="N58" s="5"/>
      <c r="O58" s="5"/>
      <c r="P58" s="5"/>
      <c r="Q58" s="5"/>
    </row>
    <row r="59" spans="1:29" ht="14.25" customHeight="1">
      <c r="A59" s="36"/>
      <c r="B59" s="8"/>
      <c r="C59" s="8"/>
      <c r="D59" s="8"/>
      <c r="E59" s="36"/>
      <c r="F59" s="53"/>
      <c r="G59" s="8"/>
      <c r="H59" s="6"/>
      <c r="I59" s="34"/>
      <c r="J59" s="37"/>
      <c r="K59" s="6"/>
      <c r="L59" s="6"/>
      <c r="M59" s="6"/>
      <c r="N59" s="5"/>
      <c r="O59" s="5"/>
      <c r="P59" s="5"/>
      <c r="Q59" s="5"/>
    </row>
    <row r="60" spans="1:29" ht="14.25" customHeight="1">
      <c r="A60" s="36"/>
      <c r="B60" s="8"/>
      <c r="C60" s="8"/>
      <c r="D60" s="8"/>
      <c r="E60" s="36"/>
      <c r="F60" s="53"/>
      <c r="G60" s="8"/>
      <c r="H60" s="6"/>
      <c r="I60" s="34"/>
      <c r="J60" s="37"/>
      <c r="K60" s="6"/>
      <c r="L60" s="6"/>
      <c r="M60" s="6"/>
      <c r="N60" s="5"/>
      <c r="O60" s="5"/>
      <c r="P60" s="5"/>
      <c r="Q60" s="5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</row>
    <row r="61" spans="1:29" ht="14.25" customHeight="1">
      <c r="A61" s="36"/>
      <c r="B61" s="8"/>
      <c r="C61" s="8"/>
      <c r="D61" s="8"/>
      <c r="E61" s="36"/>
      <c r="F61" s="53"/>
      <c r="G61" s="8"/>
      <c r="H61" s="6"/>
      <c r="I61" s="34"/>
      <c r="J61" s="37"/>
      <c r="K61" s="6"/>
      <c r="L61" s="6"/>
      <c r="M61" s="6"/>
      <c r="N61" s="5"/>
      <c r="O61" s="5"/>
      <c r="P61" s="5"/>
      <c r="Q61" s="5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</row>
    <row r="62" spans="1:29" ht="14.25" customHeight="1">
      <c r="A62" s="36"/>
      <c r="B62" s="8"/>
      <c r="C62" s="8"/>
      <c r="D62" s="8"/>
      <c r="E62" s="36"/>
      <c r="F62" s="53"/>
      <c r="G62" s="8"/>
      <c r="H62" s="6"/>
      <c r="I62" s="34"/>
      <c r="J62" s="37"/>
      <c r="K62" s="6"/>
      <c r="L62" s="6"/>
      <c r="M62" s="6"/>
      <c r="N62" s="5"/>
      <c r="O62" s="5"/>
      <c r="P62" s="5"/>
      <c r="Q62" s="5"/>
    </row>
    <row r="63" spans="1:29" ht="14.25" customHeight="1">
      <c r="A63" s="36"/>
      <c r="B63" s="8"/>
      <c r="C63" s="8"/>
      <c r="D63" s="8"/>
      <c r="E63" s="36"/>
      <c r="F63" s="53"/>
      <c r="G63" s="8"/>
      <c r="H63" s="6"/>
      <c r="I63" s="34"/>
      <c r="J63" s="37"/>
      <c r="K63" s="6"/>
      <c r="L63" s="6"/>
      <c r="M63" s="6"/>
      <c r="N63" s="5"/>
      <c r="O63" s="5"/>
      <c r="P63" s="5"/>
      <c r="Q63" s="5"/>
    </row>
    <row r="64" spans="1:29" ht="14.25" customHeight="1">
      <c r="A64" s="36"/>
      <c r="B64" s="8"/>
      <c r="C64" s="8"/>
      <c r="D64" s="8"/>
      <c r="E64" s="36"/>
      <c r="F64" s="53"/>
      <c r="G64" s="8"/>
      <c r="H64" s="6"/>
      <c r="I64" s="34"/>
      <c r="J64" s="37"/>
      <c r="K64" s="6"/>
      <c r="L64" s="6"/>
      <c r="M64" s="6"/>
      <c r="N64" s="5"/>
      <c r="O64" s="5"/>
      <c r="P64" s="5"/>
      <c r="Q64" s="5"/>
    </row>
    <row r="65" spans="1:29" ht="14.25" customHeight="1">
      <c r="A65" s="36"/>
      <c r="B65" s="8"/>
      <c r="C65" s="8"/>
      <c r="D65" s="8"/>
      <c r="E65" s="36"/>
      <c r="F65" s="53"/>
      <c r="G65" s="8"/>
      <c r="H65" s="6"/>
      <c r="I65" s="34"/>
      <c r="J65" s="37"/>
      <c r="K65" s="6"/>
      <c r="L65" s="6"/>
      <c r="M65" s="6"/>
      <c r="N65" s="5"/>
      <c r="O65" s="5"/>
      <c r="P65" s="5"/>
      <c r="Q65" s="5"/>
    </row>
    <row r="66" spans="1:29" ht="14.25" customHeight="1">
      <c r="A66" s="36"/>
      <c r="B66" s="8"/>
      <c r="C66" s="8"/>
      <c r="D66" s="8"/>
      <c r="E66" s="36"/>
      <c r="F66" s="53"/>
      <c r="G66" s="8"/>
      <c r="H66" s="6"/>
      <c r="I66" s="34"/>
      <c r="J66" s="37"/>
      <c r="K66" s="6"/>
      <c r="L66" s="6"/>
      <c r="M66" s="6"/>
      <c r="N66" s="5"/>
      <c r="O66" s="5"/>
      <c r="P66" s="5"/>
      <c r="Q66" s="5"/>
    </row>
    <row r="67" spans="1:29" ht="14.25" customHeight="1">
      <c r="A67" s="8"/>
      <c r="B67" s="10"/>
      <c r="C67" s="10"/>
      <c r="D67" s="5"/>
      <c r="E67" s="72"/>
      <c r="F67" s="308"/>
      <c r="G67" s="308"/>
      <c r="H67" s="72"/>
      <c r="I67" s="8"/>
      <c r="J67" s="5"/>
      <c r="K67" s="5"/>
      <c r="L67" s="10"/>
      <c r="M67" s="10"/>
      <c r="N67" s="5"/>
      <c r="O67" s="5"/>
      <c r="P67" s="5"/>
      <c r="Q67" s="5"/>
    </row>
    <row r="68" spans="1:29" ht="14.25" customHeight="1"/>
    <row r="69" spans="1:29" s="144" customFormat="1" ht="14.2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44" customFormat="1" ht="14.2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ht="14.25" customHeight="1"/>
    <row r="72" spans="1:29" ht="14.25" customHeight="1"/>
    <row r="73" spans="1:29" ht="14.25" customHeight="1"/>
    <row r="74" spans="1:29" ht="14.25" customHeight="1"/>
    <row r="75" spans="1:29" ht="14.25" customHeight="1"/>
  </sheetData>
  <mergeCells count="8">
    <mergeCell ref="A13:B13"/>
    <mergeCell ref="F67:G67"/>
    <mergeCell ref="F13:I14"/>
    <mergeCell ref="A14:B14"/>
    <mergeCell ref="J4:L4"/>
    <mergeCell ref="J5:L5"/>
    <mergeCell ref="J6:L6"/>
    <mergeCell ref="J8:L8"/>
  </mergeCells>
  <conditionalFormatting sqref="F14:F15 G16:K16">
    <cfRule type="cellIs" dxfId="43" priority="62" operator="equal">
      <formula>"Invloed afrondingsstralen mag worden genegeerd"</formula>
    </cfRule>
    <cfRule type="cellIs" dxfId="42" priority="63" operator="equal">
      <formula>"Invloed afrondingsstralen mag niet worden genegeerd"</formula>
    </cfRule>
  </conditionalFormatting>
  <conditionalFormatting sqref="F14:I15">
    <cfRule type="cellIs" dxfId="41" priority="52" operator="equal">
      <formula>"Invl afrondingsstralen mag worden genegeerd"</formula>
    </cfRule>
    <cfRule type="cellIs" dxfId="40" priority="53" operator="equal">
      <formula>"Invl. Afrondingsstralen mag niet worden genegeerd"</formula>
    </cfRule>
  </conditionalFormatting>
  <conditionalFormatting sqref="F13">
    <cfRule type="cellIs" dxfId="39" priority="48" operator="equal">
      <formula>"Invloed afrondingsstralen mag worden genegeerd"</formula>
    </cfRule>
  </conditionalFormatting>
  <conditionalFormatting sqref="F13">
    <cfRule type="cellIs" dxfId="38" priority="47" operator="equal">
      <formula>"Invloeg afrondingsstralen mag niet worden genegeerd"</formula>
    </cfRule>
  </conditionalFormatting>
  <conditionalFormatting sqref="F13:I13">
    <cfRule type="cellIs" dxfId="37" priority="44" operator="equal">
      <formula>"Invl afrondingsstralen mag niet worden genegeerd"</formula>
    </cfRule>
    <cfRule type="cellIs" dxfId="36" priority="45" operator="equal">
      <formula>"Invl. Afrondingsstralen mag niet worden genegeerd"</formula>
    </cfRule>
    <cfRule type="cellIs" dxfId="35" priority="46" operator="equal">
      <formula>"Invl. Afrondingsstralen mag worden genegeerd"</formula>
    </cfRule>
  </conditionalFormatting>
  <conditionalFormatting sqref="J4:L4 K3:M3">
    <cfRule type="cellIs" dxfId="34" priority="42" operator="equal">
      <formula>"Hoogte is kleiner dan 2x de dikte"</formula>
    </cfRule>
    <cfRule type="cellIs" dxfId="33" priority="43" operator="equal">
      <formula>"Hoogte is ten minste gelijk aan 2x de dikte"</formula>
    </cfRule>
  </conditionalFormatting>
  <conditionalFormatting sqref="J5:L5 M4">
    <cfRule type="cellIs" dxfId="32" priority="40" operator="equal">
      <formula>"Breedte is kleiner dan 2x de dikte"</formula>
    </cfRule>
    <cfRule type="cellIs" dxfId="31" priority="41" operator="equal">
      <formula>"Breedte is ten minste gelijk aan 2x de dikte"</formula>
    </cfRule>
  </conditionalFormatting>
  <conditionalFormatting sqref="M4 K5:M5">
    <cfRule type="cellIs" dxfId="30" priority="38" operator="equal">
      <formula>"Lip is groter dan de halve profielhoogte"</formula>
    </cfRule>
    <cfRule type="cellIs" dxfId="29" priority="39" operator="equal">
      <formula>"Lip is kleiner of gelijk aan halve profielhoogte"</formula>
    </cfRule>
  </conditionalFormatting>
  <conditionalFormatting sqref="M5 J6:M6">
    <cfRule type="cellIs" dxfId="28" priority="36" operator="equal">
      <formula>"Enkele profielmaten zijn negatief"</formula>
    </cfRule>
    <cfRule type="cellIs" dxfId="27" priority="37" operator="equal">
      <formula>"Alle effectieve profielmaten zijn positief"</formula>
    </cfRule>
  </conditionalFormatting>
  <conditionalFormatting sqref="K7:M7 J8:M8">
    <cfRule type="cellIs" dxfId="26" priority="34" operator="equal">
      <formula>"Profiel fysisch niet mogelijk"</formula>
    </cfRule>
    <cfRule type="cellIs" dxfId="25" priority="35" operator="equal">
      <formula>"Profiel fysisch mogelijk"</formula>
    </cfRule>
  </conditionalFormatting>
  <pageMargins left="0.19685039370078741" right="0.19685039370078741" top="0.31496062992125984" bottom="0.31496062992125984" header="0.31496062992125984" footer="0.31496062992125984"/>
  <pageSetup scale="65" orientation="landscape" r:id="rId1"/>
  <rowBreaks count="1" manualBreakCount="1">
    <brk id="15" max="11" man="1"/>
  </rowBreaks>
  <drawing r:id="rId2"/>
  <legacyDrawing r:id="rId3"/>
  <oleObjects>
    <oleObject progId="AutoCAD.Drawing.16" shapeId="1025" r:id="rId4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130"/>
  <sheetViews>
    <sheetView topLeftCell="A89" zoomScaleNormal="100" workbookViewId="0">
      <selection activeCell="I127" sqref="I127"/>
    </sheetView>
  </sheetViews>
  <sheetFormatPr defaultRowHeight="15"/>
  <cols>
    <col min="1" max="1" width="9.140625" style="156" customWidth="1"/>
    <col min="2" max="2" width="10.42578125" style="156" customWidth="1"/>
    <col min="3" max="3" width="8.7109375" style="156" customWidth="1"/>
    <col min="4" max="4" width="9.140625" style="156" customWidth="1"/>
    <col min="5" max="5" width="11.85546875" style="156" customWidth="1"/>
    <col min="6" max="6" width="13.28515625" style="156" customWidth="1"/>
    <col min="7" max="7" width="9.5703125" style="156" customWidth="1"/>
    <col min="8" max="8" width="12.85546875" style="156" customWidth="1"/>
    <col min="9" max="9" width="10.85546875" style="156" customWidth="1"/>
    <col min="10" max="10" width="10.28515625" style="156" customWidth="1"/>
    <col min="11" max="11" width="8.85546875" style="156" customWidth="1"/>
    <col min="12" max="12" width="20.140625" style="156" customWidth="1"/>
    <col min="13" max="13" width="10.28515625" style="156" customWidth="1"/>
    <col min="14" max="14" width="16.85546875" style="156" customWidth="1"/>
    <col min="15" max="15" width="9.140625" style="156"/>
    <col min="16" max="16" width="16.7109375" style="156" bestFit="1" customWidth="1"/>
    <col min="17" max="17" width="11.42578125" style="156" customWidth="1"/>
    <col min="18" max="18" width="12" style="156" bestFit="1" customWidth="1"/>
    <col min="19" max="19" width="8.7109375" style="156" bestFit="1" customWidth="1"/>
    <col min="20" max="20" width="12.140625" style="156" bestFit="1" customWidth="1"/>
    <col min="21" max="21" width="9.85546875" style="156" bestFit="1" customWidth="1"/>
    <col min="22" max="22" width="10.5703125" style="156" customWidth="1"/>
    <col min="23" max="23" width="9.85546875" style="156" bestFit="1" customWidth="1"/>
    <col min="24" max="16384" width="9.140625" style="156"/>
  </cols>
  <sheetData>
    <row r="1" spans="1:17" ht="24" customHeight="1">
      <c r="A1" s="268" t="s">
        <v>197</v>
      </c>
      <c r="B1" s="5"/>
      <c r="C1" s="173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hidden="1" customHeight="1" thickBot="1">
      <c r="A3" s="193" t="s">
        <v>11</v>
      </c>
      <c r="B3" s="194"/>
      <c r="C3" s="195"/>
      <c r="D3" s="196"/>
      <c r="F3" s="200" t="s">
        <v>6</v>
      </c>
      <c r="G3" s="201"/>
      <c r="H3" s="196"/>
      <c r="I3" s="127"/>
      <c r="J3" s="5"/>
      <c r="K3" s="43"/>
      <c r="L3" s="43"/>
      <c r="M3" s="43"/>
      <c r="N3" s="5"/>
      <c r="O3" s="5"/>
      <c r="P3" s="5"/>
      <c r="Q3" s="5"/>
    </row>
    <row r="4" spans="1:17" ht="18.75" hidden="1" customHeight="1">
      <c r="A4" s="237" t="s">
        <v>12</v>
      </c>
      <c r="B4" s="62">
        <f>'Input &amp; output'!H4</f>
        <v>210000</v>
      </c>
      <c r="C4" s="13" t="s">
        <v>14</v>
      </c>
      <c r="D4" s="197"/>
      <c r="F4" s="237" t="s">
        <v>4</v>
      </c>
      <c r="G4" s="62">
        <f>'Input &amp; output'!B4</f>
        <v>100</v>
      </c>
      <c r="H4" s="197" t="s">
        <v>3</v>
      </c>
      <c r="I4" s="127">
        <f>IF(G4&gt;=(2*G6),1,0)</f>
        <v>1</v>
      </c>
      <c r="J4" s="307" t="str">
        <f>IF(G4&gt;=(2*G6),"Hoogte is ten minste gelijk aan 2x de dikte","Hoogte is kleiner dan 2x de dikte")</f>
        <v>Hoogte is ten minste gelijk aan 2x de dikte</v>
      </c>
      <c r="K4" s="307"/>
      <c r="L4" s="307"/>
      <c r="M4" s="88"/>
      <c r="N4" s="5"/>
      <c r="O4" s="5"/>
      <c r="P4" s="5"/>
      <c r="Q4" s="5"/>
    </row>
    <row r="5" spans="1:17" ht="18.75" hidden="1" customHeight="1">
      <c r="A5" s="238" t="s">
        <v>13</v>
      </c>
      <c r="B5" s="63">
        <f>$B$4/(2*(1+$B$6))</f>
        <v>80769.230769230766</v>
      </c>
      <c r="C5" s="6" t="s">
        <v>14</v>
      </c>
      <c r="D5" s="133"/>
      <c r="F5" s="238" t="s">
        <v>5</v>
      </c>
      <c r="G5" s="64">
        <f>'Input &amp; output'!B5</f>
        <v>50</v>
      </c>
      <c r="H5" s="133" t="s">
        <v>3</v>
      </c>
      <c r="I5" s="127">
        <f>IF(G5&gt;=(2*G6),1,0)</f>
        <v>1</v>
      </c>
      <c r="J5" s="295" t="str">
        <f>IF(G5&gt;=(2*G6),"Breedte is ten minste gelijk aan 2x de dikte","Breedte is kleiner dan 2x de dikte")</f>
        <v>Breedte is ten minste gelijk aan 2x de dikte</v>
      </c>
      <c r="K5" s="295"/>
      <c r="L5" s="295"/>
      <c r="M5" s="88"/>
      <c r="N5" s="5"/>
      <c r="O5" s="5"/>
      <c r="P5" s="5"/>
      <c r="Q5" s="5"/>
    </row>
    <row r="6" spans="1:17" ht="18.75" hidden="1" customHeight="1">
      <c r="A6" s="239" t="s">
        <v>57</v>
      </c>
      <c r="B6" s="64">
        <f>'Input &amp; output'!H5</f>
        <v>0.3</v>
      </c>
      <c r="C6" s="6"/>
      <c r="D6" s="133"/>
      <c r="F6" s="238" t="s">
        <v>2</v>
      </c>
      <c r="G6" s="64">
        <f>'Input &amp; output'!B6</f>
        <v>1</v>
      </c>
      <c r="H6" s="133" t="s">
        <v>3</v>
      </c>
      <c r="I6" s="127">
        <f>IF(MIN('Input &amp; output'!B37:B38,'Input &amp; output'!F37:F37)&gt;0,1,0)</f>
        <v>1</v>
      </c>
      <c r="J6" s="295" t="str">
        <f>IF(MIN('Input &amp; output'!B37:B38,'Input &amp; output'!F37:F37),"Alle effectieve profielmaten zijn positief","Enkele effectieve profielmaten zijn negatief")</f>
        <v>Alle effectieve profielmaten zijn positief</v>
      </c>
      <c r="K6" s="295"/>
      <c r="L6" s="295"/>
      <c r="M6" s="88"/>
      <c r="N6" s="5"/>
      <c r="O6" s="5"/>
      <c r="P6" s="5"/>
      <c r="Q6" s="5"/>
    </row>
    <row r="7" spans="1:17" ht="18.75" hidden="1" customHeight="1">
      <c r="A7" s="238" t="s">
        <v>138</v>
      </c>
      <c r="B7" s="64">
        <f>'Input &amp; output'!H6</f>
        <v>350</v>
      </c>
      <c r="C7" s="6" t="s">
        <v>14</v>
      </c>
      <c r="D7" s="133"/>
      <c r="F7" s="242" t="s">
        <v>1</v>
      </c>
      <c r="G7" s="198">
        <f>'Input &amp; output'!B7</f>
        <v>-0.5</v>
      </c>
      <c r="H7" s="199" t="s">
        <v>3</v>
      </c>
      <c r="I7" s="127"/>
      <c r="J7" s="5"/>
      <c r="K7" s="5"/>
      <c r="L7" s="5"/>
      <c r="M7" s="5"/>
      <c r="N7" s="5"/>
      <c r="O7" s="5"/>
      <c r="P7" s="5"/>
      <c r="Q7" s="5"/>
    </row>
    <row r="8" spans="1:17" ht="18.75" hidden="1" customHeight="1">
      <c r="A8" s="240" t="s">
        <v>120</v>
      </c>
      <c r="B8" s="64">
        <f>'Input &amp; output'!H7</f>
        <v>1</v>
      </c>
      <c r="C8" s="6"/>
      <c r="D8" s="133"/>
      <c r="F8" s="6"/>
      <c r="G8" s="6"/>
      <c r="H8" s="6"/>
      <c r="I8" s="5"/>
      <c r="J8" s="307" t="str">
        <f>IF(SUM(I4:I6)=3,"Profiel fysisch mogelijk","Profiel fysisch niet mogelijk")</f>
        <v>Profiel fysisch mogelijk</v>
      </c>
      <c r="K8" s="307"/>
      <c r="L8" s="307"/>
      <c r="M8" s="43"/>
      <c r="N8" s="5"/>
      <c r="O8" s="5"/>
      <c r="P8" s="5"/>
      <c r="Q8" s="5"/>
    </row>
    <row r="9" spans="1:17" ht="18.75" hidden="1" customHeight="1">
      <c r="A9" s="241" t="s">
        <v>121</v>
      </c>
      <c r="B9" s="198">
        <f>'Input &amp; output'!H8</f>
        <v>1</v>
      </c>
      <c r="C9" s="94"/>
      <c r="D9" s="199"/>
      <c r="I9" s="5"/>
      <c r="J9" s="5"/>
      <c r="K9" s="5"/>
      <c r="L9" s="6"/>
      <c r="M9" s="6"/>
      <c r="N9" s="6"/>
      <c r="O9" s="6"/>
      <c r="P9" s="5"/>
      <c r="Q9" s="5"/>
    </row>
    <row r="10" spans="1:17" ht="14.25" hidden="1" customHeight="1">
      <c r="A10" s="5"/>
      <c r="B10" s="34"/>
      <c r="C10" s="34"/>
      <c r="D10" s="34"/>
      <c r="I10" s="5"/>
      <c r="J10" s="5"/>
      <c r="K10" s="5"/>
      <c r="L10" s="5"/>
      <c r="M10" s="6"/>
      <c r="N10" s="6"/>
      <c r="O10" s="6"/>
      <c r="P10" s="5"/>
      <c r="Q10" s="5"/>
    </row>
    <row r="11" spans="1:17" ht="14.25" hidden="1" customHeight="1">
      <c r="A11" s="6"/>
      <c r="B11" s="5"/>
      <c r="C11" s="5"/>
      <c r="D11" s="8"/>
      <c r="E11" s="9"/>
      <c r="F11" s="5"/>
      <c r="G11" s="5"/>
      <c r="H11" s="5"/>
      <c r="I11" s="5"/>
      <c r="J11" s="5"/>
      <c r="L11" s="5"/>
      <c r="M11" s="6"/>
      <c r="N11" s="6"/>
      <c r="O11" s="6"/>
      <c r="P11" s="5"/>
      <c r="Q11" s="5"/>
    </row>
    <row r="12" spans="1:17" ht="18.75" hidden="1" customHeight="1">
      <c r="A12" s="40" t="s">
        <v>25</v>
      </c>
      <c r="B12" s="34"/>
      <c r="C12" s="34"/>
      <c r="D12" s="34"/>
      <c r="E12" s="5"/>
      <c r="F12" s="5"/>
      <c r="G12" s="5"/>
      <c r="H12" s="5"/>
      <c r="I12" s="5"/>
      <c r="L12" s="158"/>
      <c r="M12" s="6"/>
      <c r="N12" s="6"/>
      <c r="O12" s="6"/>
      <c r="P12" s="5"/>
      <c r="Q12" s="5"/>
    </row>
    <row r="13" spans="1:17" ht="18.75" hidden="1" customHeight="1">
      <c r="A13" s="159" t="s">
        <v>26</v>
      </c>
      <c r="B13" s="158"/>
      <c r="C13" s="179" t="s">
        <v>96</v>
      </c>
      <c r="D13" s="60">
        <f>G6</f>
        <v>1</v>
      </c>
      <c r="E13" s="158" t="s">
        <v>53</v>
      </c>
      <c r="F13" s="41" t="str">
        <f>IF(G6&gt;=1,IF(G6&lt;=8,"Voldoet","Voldoet niet"),"Voldoet niet")</f>
        <v>Voldoet</v>
      </c>
      <c r="H13" s="37"/>
      <c r="I13" s="158"/>
      <c r="J13" s="78"/>
      <c r="K13" s="77" t="s">
        <v>118</v>
      </c>
      <c r="L13" s="202"/>
      <c r="M13" s="6"/>
      <c r="N13" s="155"/>
      <c r="O13" s="53"/>
      <c r="P13" s="5"/>
      <c r="Q13" s="5"/>
    </row>
    <row r="14" spans="1:17" ht="18.75" hidden="1" customHeight="1">
      <c r="A14" s="315" t="s">
        <v>27</v>
      </c>
      <c r="B14" s="315"/>
      <c r="C14" s="315"/>
      <c r="D14" s="30"/>
      <c r="H14" s="42"/>
      <c r="I14" s="158"/>
      <c r="L14" s="158"/>
      <c r="M14" s="6"/>
      <c r="N14" s="155"/>
      <c r="O14" s="53"/>
      <c r="P14" s="5"/>
      <c r="Q14" s="5"/>
    </row>
    <row r="15" spans="1:17" ht="18.75" hidden="1" customHeight="1">
      <c r="A15" s="312" t="s">
        <v>29</v>
      </c>
      <c r="B15" s="312"/>
      <c r="C15" s="225" t="s">
        <v>28</v>
      </c>
      <c r="D15" s="60">
        <f>G4/G6</f>
        <v>100</v>
      </c>
      <c r="E15" s="174" t="s">
        <v>92</v>
      </c>
      <c r="F15" s="42" t="str">
        <f>IF(D15&lt;=500,"Voldoet","Voldoet niet")</f>
        <v>Voldoet</v>
      </c>
      <c r="H15" s="42"/>
      <c r="I15" s="158"/>
      <c r="K15" s="77" t="s">
        <v>67</v>
      </c>
      <c r="L15" s="41"/>
      <c r="M15" s="6"/>
      <c r="N15" s="145"/>
      <c r="O15" s="109"/>
      <c r="P15" s="5"/>
      <c r="Q15" s="5"/>
    </row>
    <row r="16" spans="1:17" ht="18.75" hidden="1" customHeight="1">
      <c r="A16" s="312" t="s">
        <v>30</v>
      </c>
      <c r="B16" s="312"/>
      <c r="C16" s="225" t="s">
        <v>31</v>
      </c>
      <c r="D16" s="60">
        <f>G5/G6</f>
        <v>50</v>
      </c>
      <c r="E16" s="174" t="s">
        <v>93</v>
      </c>
      <c r="F16" s="42" t="str">
        <f>IF(D16&lt;=60,"Voldoet","Voldoet niet")</f>
        <v>Voldoet</v>
      </c>
      <c r="G16" s="41"/>
      <c r="H16" s="41"/>
      <c r="I16" s="41"/>
      <c r="K16" s="77" t="s">
        <v>67</v>
      </c>
      <c r="L16" s="158"/>
      <c r="M16" s="6"/>
      <c r="N16" s="155"/>
      <c r="O16" s="53"/>
      <c r="P16" s="5"/>
      <c r="Q16" s="5"/>
    </row>
    <row r="17" spans="1:20" ht="14.25" hidden="1" customHeight="1">
      <c r="A17" s="115"/>
      <c r="B17" s="115"/>
      <c r="C17" s="225"/>
      <c r="D17" s="60"/>
      <c r="E17" s="174"/>
      <c r="F17" s="43"/>
      <c r="H17" s="43"/>
      <c r="I17" s="158"/>
      <c r="J17" s="79"/>
      <c r="K17" s="79"/>
      <c r="L17" s="158"/>
      <c r="M17" s="6"/>
      <c r="N17" s="155"/>
      <c r="O17" s="109"/>
      <c r="P17" s="5"/>
      <c r="Q17" s="5"/>
    </row>
    <row r="18" spans="1:20" ht="18.75" hidden="1" customHeight="1">
      <c r="A18" s="6"/>
      <c r="B18" s="5"/>
      <c r="C18" s="226" t="s">
        <v>1</v>
      </c>
      <c r="D18" s="157" t="s">
        <v>34</v>
      </c>
      <c r="E18" s="203" t="s">
        <v>139</v>
      </c>
      <c r="F18" s="5"/>
      <c r="G18" s="5"/>
      <c r="H18" s="5"/>
      <c r="I18" s="5"/>
      <c r="J18" s="77"/>
      <c r="K18" s="77" t="s">
        <v>61</v>
      </c>
      <c r="L18" s="5"/>
      <c r="M18" s="6"/>
      <c r="N18" s="116"/>
      <c r="O18" s="53"/>
      <c r="P18" s="5"/>
      <c r="Q18" s="5"/>
    </row>
    <row r="19" spans="1:20" ht="18.75" hidden="1" customHeight="1">
      <c r="A19" s="6"/>
      <c r="B19" s="5"/>
      <c r="C19" s="5">
        <f>G7</f>
        <v>-0.5</v>
      </c>
      <c r="D19" s="157" t="s">
        <v>34</v>
      </c>
      <c r="E19" s="204">
        <f>0.04*G6*B4/B7</f>
        <v>24</v>
      </c>
      <c r="F19" s="43" t="str">
        <f>IF(C19&gt;E19,"Voldoet niet","Voldoet")</f>
        <v>Voldoet</v>
      </c>
      <c r="G19" s="5"/>
      <c r="H19" s="5"/>
      <c r="I19" s="5"/>
      <c r="J19" s="77"/>
      <c r="K19" s="77"/>
      <c r="L19" s="5"/>
      <c r="M19" s="6"/>
      <c r="N19" s="116"/>
      <c r="O19" s="53"/>
      <c r="P19" s="5"/>
      <c r="Q19" s="5"/>
    </row>
    <row r="20" spans="1:20" ht="14.25" hidden="1" customHeight="1">
      <c r="A20" s="6"/>
      <c r="B20" s="5"/>
      <c r="C20" s="5"/>
      <c r="D20" s="8"/>
      <c r="E20" s="205"/>
      <c r="F20" s="5"/>
      <c r="G20" s="5"/>
      <c r="H20" s="5"/>
      <c r="I20" s="5"/>
      <c r="J20" s="77"/>
      <c r="K20" s="77"/>
      <c r="L20" s="5"/>
      <c r="M20" s="6"/>
      <c r="N20" s="116"/>
      <c r="O20" s="53"/>
      <c r="P20" s="5"/>
      <c r="Q20" s="5"/>
    </row>
    <row r="21" spans="1:20" ht="18.75" hidden="1" customHeight="1">
      <c r="A21" s="40" t="s">
        <v>33</v>
      </c>
      <c r="B21" s="34"/>
      <c r="C21" s="34"/>
      <c r="D21" s="34"/>
      <c r="E21" s="34"/>
      <c r="F21" s="34"/>
      <c r="G21" s="5"/>
      <c r="H21" s="5"/>
      <c r="I21" s="5"/>
      <c r="J21" s="77"/>
      <c r="K21" s="77"/>
      <c r="L21" s="5"/>
      <c r="M21" s="5"/>
      <c r="N21" s="116"/>
      <c r="O21" s="53"/>
      <c r="P21" s="5"/>
      <c r="Q21" s="5"/>
    </row>
    <row r="22" spans="1:20" ht="18.75" hidden="1" customHeight="1">
      <c r="A22" s="313" t="s">
        <v>54</v>
      </c>
      <c r="B22" s="313"/>
      <c r="C22" s="34">
        <f>G7</f>
        <v>-0.5</v>
      </c>
      <c r="D22" s="85" t="s">
        <v>34</v>
      </c>
      <c r="E22" s="44">
        <f>5*G6</f>
        <v>5</v>
      </c>
      <c r="F22" s="309" t="str">
        <f>IF(C22&lt;=E22,IF(C23&lt;=E23,"Invl. afrondingsstralen mag worden genegeerd","Invl. afrondingsstralen mag niet worden genegeerd"),"Invl. afrondingsstralen mag niet worden genegeerd")</f>
        <v>Invl. afrondingsstralen mag worden genegeerd</v>
      </c>
      <c r="G22" s="309"/>
      <c r="H22" s="309"/>
      <c r="I22" s="309"/>
      <c r="K22" s="82" t="s">
        <v>55</v>
      </c>
      <c r="L22" s="5"/>
      <c r="Q22" s="5"/>
    </row>
    <row r="23" spans="1:20" ht="18.75" hidden="1" customHeight="1">
      <c r="A23" s="314" t="s">
        <v>140</v>
      </c>
      <c r="B23" s="314"/>
      <c r="C23" s="34">
        <f>G7</f>
        <v>-0.5</v>
      </c>
      <c r="D23" s="85" t="s">
        <v>34</v>
      </c>
      <c r="E23" s="44">
        <f>0.1*MIN(B38,D38)</f>
        <v>4.95</v>
      </c>
      <c r="F23" s="309"/>
      <c r="G23" s="309"/>
      <c r="H23" s="309"/>
      <c r="I23" s="309"/>
      <c r="K23" s="82" t="s">
        <v>55</v>
      </c>
      <c r="L23" s="5"/>
      <c r="M23" s="5"/>
      <c r="N23" s="61"/>
      <c r="P23" s="5"/>
      <c r="Q23" s="5"/>
    </row>
    <row r="24" spans="1:20" ht="14.25" hidden="1" customHeight="1">
      <c r="A24" s="161"/>
      <c r="B24" s="161"/>
      <c r="C24" s="34"/>
      <c r="D24" s="85"/>
      <c r="E24" s="44"/>
      <c r="F24" s="160"/>
      <c r="G24" s="160"/>
      <c r="H24" s="160"/>
      <c r="I24" s="160"/>
      <c r="K24" s="82"/>
      <c r="L24" s="5"/>
      <c r="M24" s="5"/>
      <c r="N24" s="61"/>
      <c r="P24" s="5"/>
      <c r="Q24" s="5"/>
    </row>
    <row r="25" spans="1:20" ht="14.25" hidden="1" customHeight="1" thickBot="1">
      <c r="A25" s="6"/>
      <c r="B25" s="35"/>
      <c r="C25" s="6"/>
      <c r="D25" s="34"/>
      <c r="E25" s="35"/>
      <c r="F25" s="44"/>
      <c r="G25" s="158"/>
      <c r="H25" s="158"/>
      <c r="I25" s="158"/>
      <c r="J25" s="158"/>
      <c r="K25" s="158"/>
      <c r="L25" s="5"/>
      <c r="M25" s="5"/>
      <c r="N25" s="6"/>
      <c r="O25" s="5"/>
      <c r="P25" s="5"/>
      <c r="Q25" s="5"/>
    </row>
    <row r="26" spans="1:20" ht="18.75" hidden="1" customHeight="1" thickBot="1">
      <c r="A26" s="47" t="s">
        <v>0</v>
      </c>
      <c r="B26" s="48"/>
      <c r="C26" s="49"/>
      <c r="D26" s="49"/>
      <c r="F26" s="7"/>
      <c r="G26" s="8"/>
      <c r="H26" s="8"/>
      <c r="I26" s="8"/>
      <c r="J26" s="8"/>
      <c r="K26" s="8"/>
      <c r="L26" s="8"/>
      <c r="M26" s="5"/>
      <c r="N26" s="6"/>
      <c r="O26" s="6"/>
      <c r="P26" s="8"/>
      <c r="Q26" s="5"/>
    </row>
    <row r="27" spans="1:20" ht="18.75" hidden="1" customHeight="1">
      <c r="A27" s="222" t="s">
        <v>129</v>
      </c>
      <c r="B27" s="67">
        <f>G7+G6/2</f>
        <v>0</v>
      </c>
      <c r="C27" s="6" t="s">
        <v>3</v>
      </c>
      <c r="D27" s="17"/>
      <c r="F27" s="6"/>
      <c r="G27" s="53"/>
      <c r="H27" s="6"/>
      <c r="I27" s="53"/>
      <c r="J27" s="6"/>
      <c r="M27" s="34"/>
      <c r="N27" s="146" t="s">
        <v>62</v>
      </c>
      <c r="S27" s="5"/>
      <c r="T27" s="151"/>
    </row>
    <row r="28" spans="1:20" ht="18.75" hidden="1" customHeight="1">
      <c r="A28" s="222" t="s">
        <v>20</v>
      </c>
      <c r="B28" s="68">
        <f>B27*(TAN(45*PI()/180)-SIN(45*PI()/180))</f>
        <v>0</v>
      </c>
      <c r="C28" s="6" t="s">
        <v>3</v>
      </c>
      <c r="D28" s="17"/>
      <c r="F28" s="116"/>
      <c r="G28" s="53"/>
      <c r="H28" s="116"/>
      <c r="I28" s="53"/>
      <c r="J28" s="116"/>
      <c r="M28" s="34"/>
      <c r="N28" s="146" t="s">
        <v>63</v>
      </c>
      <c r="S28" s="5"/>
      <c r="T28" s="151"/>
    </row>
    <row r="29" spans="1:20" ht="18.75" hidden="1" customHeight="1">
      <c r="A29" s="227" t="s">
        <v>131</v>
      </c>
      <c r="B29" s="68">
        <f>0.5*PI()*B27</f>
        <v>0</v>
      </c>
      <c r="C29" s="6" t="s">
        <v>3</v>
      </c>
      <c r="D29" s="17"/>
      <c r="F29" s="116"/>
      <c r="G29" s="53"/>
      <c r="H29" s="116"/>
      <c r="I29" s="53"/>
      <c r="J29" s="116"/>
      <c r="M29" s="34"/>
      <c r="N29" s="147" t="s">
        <v>64</v>
      </c>
      <c r="S29" s="5"/>
      <c r="T29" s="151"/>
    </row>
    <row r="30" spans="1:20" ht="18.75" hidden="1" customHeight="1">
      <c r="A30" s="222" t="s">
        <v>132</v>
      </c>
      <c r="B30" s="68">
        <f>0.637*B27</f>
        <v>0</v>
      </c>
      <c r="C30" s="6" t="s">
        <v>3</v>
      </c>
      <c r="D30" s="17"/>
      <c r="F30" s="116"/>
      <c r="G30" s="53"/>
      <c r="H30" s="116"/>
      <c r="I30" s="53"/>
      <c r="J30" s="116"/>
      <c r="M30" s="34"/>
      <c r="N30" s="146" t="s">
        <v>65</v>
      </c>
      <c r="P30" s="5"/>
      <c r="Q30" s="5"/>
    </row>
    <row r="31" spans="1:20" ht="18.75" hidden="1" customHeight="1">
      <c r="A31" s="222" t="s">
        <v>133</v>
      </c>
      <c r="B31" s="68">
        <f>0.149*(POWER(B27,3)*G6)</f>
        <v>0</v>
      </c>
      <c r="C31" s="165" t="s">
        <v>17</v>
      </c>
      <c r="D31" s="17"/>
      <c r="E31" s="34"/>
      <c r="F31" s="6"/>
      <c r="G31" s="6"/>
      <c r="H31" s="6"/>
      <c r="I31" s="6"/>
      <c r="J31" s="34"/>
      <c r="L31" s="34"/>
      <c r="M31" s="34"/>
      <c r="N31" s="146" t="s">
        <v>66</v>
      </c>
      <c r="P31" s="5"/>
      <c r="Q31" s="5"/>
    </row>
    <row r="32" spans="1:20" ht="18.75" hidden="1" customHeight="1" thickBot="1">
      <c r="A32" s="224" t="s">
        <v>134</v>
      </c>
      <c r="B32" s="69">
        <f>B29*G6</f>
        <v>0</v>
      </c>
      <c r="C32" s="166" t="s">
        <v>7</v>
      </c>
      <c r="D32" s="25"/>
      <c r="E32" s="34"/>
      <c r="F32" s="6"/>
      <c r="G32" s="6"/>
      <c r="H32" s="6"/>
      <c r="I32" s="6"/>
      <c r="J32" s="34"/>
      <c r="L32" s="34"/>
      <c r="M32" s="34"/>
      <c r="N32" s="152" t="s">
        <v>81</v>
      </c>
      <c r="P32" s="5"/>
      <c r="Q32" s="5"/>
    </row>
    <row r="33" spans="1:17" ht="14.25" hidden="1" customHeight="1" thickBot="1">
      <c r="A33" s="125" t="str">
        <f>IF(B27=0,"Let op! Er wordt gerekend met rechte hoeken!"," ")</f>
        <v>Let op! Er wordt gerekend met rechte hoeken!</v>
      </c>
      <c r="B33" s="53"/>
      <c r="C33" s="6"/>
      <c r="D33" s="34"/>
      <c r="E33" s="34"/>
      <c r="F33" s="34"/>
      <c r="G33" s="34"/>
      <c r="H33" s="34"/>
      <c r="I33" s="34"/>
      <c r="J33" s="34"/>
      <c r="K33" s="34"/>
      <c r="L33" s="34"/>
      <c r="M33" s="34"/>
      <c r="P33" s="5"/>
      <c r="Q33" s="5"/>
    </row>
    <row r="34" spans="1:17" ht="18.75" hidden="1" customHeight="1" thickBot="1">
      <c r="A34" s="47" t="s">
        <v>24</v>
      </c>
      <c r="B34" s="48"/>
      <c r="C34" s="48"/>
      <c r="D34" s="49"/>
      <c r="E34" s="34"/>
      <c r="F34" s="34"/>
      <c r="G34" s="34"/>
      <c r="H34" s="34"/>
      <c r="I34" s="34"/>
      <c r="J34" s="34"/>
      <c r="K34" s="34"/>
      <c r="L34" s="34"/>
      <c r="M34" s="34"/>
      <c r="P34" s="5"/>
      <c r="Q34" s="5"/>
    </row>
    <row r="35" spans="1:17" ht="18.75" hidden="1" customHeight="1">
      <c r="A35" s="214" t="s">
        <v>4</v>
      </c>
      <c r="B35" s="67">
        <f>G4</f>
        <v>100</v>
      </c>
      <c r="C35" s="237" t="s">
        <v>5</v>
      </c>
      <c r="D35" s="70">
        <f>G5</f>
        <v>50</v>
      </c>
      <c r="E35" s="34"/>
      <c r="F35" s="34"/>
      <c r="G35" s="34"/>
      <c r="H35" s="34"/>
      <c r="I35" s="34"/>
      <c r="J35" s="34"/>
      <c r="K35" s="34"/>
      <c r="L35" s="34"/>
      <c r="M35" s="34"/>
      <c r="P35" s="5"/>
      <c r="Q35" s="5"/>
    </row>
    <row r="36" spans="1:17" ht="18.75" hidden="1" customHeight="1">
      <c r="A36" s="229" t="s">
        <v>112</v>
      </c>
      <c r="B36" s="68">
        <f>B35-G6</f>
        <v>99</v>
      </c>
      <c r="C36" s="243" t="s">
        <v>115</v>
      </c>
      <c r="D36" s="71">
        <f>D35-(G6/2)</f>
        <v>49.5</v>
      </c>
      <c r="E36" s="34"/>
      <c r="F36" s="34"/>
      <c r="G36" s="34"/>
      <c r="H36" s="34"/>
      <c r="I36" s="34"/>
      <c r="J36" s="34"/>
      <c r="K36" s="34"/>
      <c r="L36" s="34"/>
      <c r="M36" s="34"/>
      <c r="N36" s="146" t="s">
        <v>69</v>
      </c>
      <c r="O36" s="151" t="s">
        <v>70</v>
      </c>
      <c r="P36" s="5"/>
      <c r="Q36" s="5"/>
    </row>
    <row r="37" spans="1:17" ht="18.75" hidden="1" customHeight="1">
      <c r="A37" s="229" t="s">
        <v>113</v>
      </c>
      <c r="B37" s="68">
        <f>B36-(2*B27)</f>
        <v>99</v>
      </c>
      <c r="C37" s="243" t="s">
        <v>116</v>
      </c>
      <c r="D37" s="71">
        <f>D36-B27</f>
        <v>49.5</v>
      </c>
      <c r="E37" s="34"/>
      <c r="F37" s="34"/>
      <c r="G37" s="34"/>
      <c r="H37" s="34"/>
      <c r="I37" s="34"/>
      <c r="J37" s="34"/>
      <c r="K37" s="34"/>
      <c r="L37" s="34"/>
      <c r="M37" s="34"/>
      <c r="N37" s="146" t="s">
        <v>71</v>
      </c>
      <c r="O37" s="151" t="s">
        <v>80</v>
      </c>
      <c r="P37" s="5"/>
      <c r="Q37" s="5"/>
    </row>
    <row r="38" spans="1:17" ht="18.75" hidden="1" customHeight="1" thickBot="1">
      <c r="A38" s="228" t="s">
        <v>114</v>
      </c>
      <c r="B38" s="69">
        <f>B36-(2*B28)</f>
        <v>99</v>
      </c>
      <c r="C38" s="244" t="s">
        <v>117</v>
      </c>
      <c r="D38" s="142">
        <f>D36-B28</f>
        <v>49.5</v>
      </c>
      <c r="E38" s="34"/>
      <c r="F38" s="34"/>
      <c r="G38" s="34"/>
      <c r="H38" s="34"/>
      <c r="I38" s="34"/>
      <c r="J38" s="34"/>
      <c r="K38" s="34"/>
      <c r="L38" s="34"/>
      <c r="M38" s="34"/>
      <c r="N38" s="146" t="s">
        <v>72</v>
      </c>
      <c r="O38" s="151" t="s">
        <v>79</v>
      </c>
      <c r="P38" s="5"/>
      <c r="Q38" s="5"/>
    </row>
    <row r="39" spans="1:17" s="169" customFormat="1" ht="18.75" hidden="1" customHeight="1">
      <c r="A39" s="116"/>
      <c r="B39" s="53"/>
      <c r="C39" s="116"/>
      <c r="D39" s="53"/>
      <c r="E39" s="34"/>
      <c r="F39" s="34"/>
      <c r="G39" s="34"/>
      <c r="H39" s="34"/>
      <c r="I39" s="34"/>
      <c r="J39" s="34"/>
      <c r="K39" s="34"/>
      <c r="L39" s="34"/>
      <c r="M39" s="34"/>
      <c r="N39" s="146"/>
      <c r="O39" s="151"/>
      <c r="P39" s="5"/>
      <c r="Q39" s="5"/>
    </row>
    <row r="40" spans="1:17" ht="15.75" hidden="1" customHeight="1" thickBot="1">
      <c r="A40" s="8"/>
      <c r="B40" s="53"/>
      <c r="C40" s="6"/>
      <c r="D40" s="34"/>
      <c r="E40" s="34"/>
      <c r="F40" s="34"/>
      <c r="G40" s="34"/>
      <c r="H40" s="34"/>
      <c r="I40" s="34"/>
      <c r="J40" s="34"/>
      <c r="K40" s="34"/>
      <c r="L40" s="34"/>
      <c r="M40" s="34"/>
      <c r="P40" s="5"/>
      <c r="Q40" s="5"/>
    </row>
    <row r="41" spans="1:17" ht="18.75" hidden="1" customHeight="1" thickBot="1">
      <c r="A41" s="50" t="s">
        <v>32</v>
      </c>
      <c r="B41" s="48"/>
      <c r="C41" s="48"/>
      <c r="D41" s="48"/>
      <c r="E41" s="52"/>
      <c r="F41" s="48"/>
      <c r="G41" s="48"/>
      <c r="H41" s="49"/>
      <c r="I41" s="5"/>
      <c r="J41" s="5"/>
      <c r="K41" s="5"/>
      <c r="L41" s="5"/>
      <c r="M41" s="6"/>
      <c r="N41" s="6"/>
      <c r="O41" s="6"/>
      <c r="P41" s="5"/>
      <c r="Q41" s="5"/>
    </row>
    <row r="42" spans="1:17" ht="18.75" hidden="1" customHeight="1">
      <c r="A42" s="163" t="s">
        <v>22</v>
      </c>
      <c r="B42" s="148"/>
      <c r="C42" s="148"/>
      <c r="D42" s="148" t="s">
        <v>23</v>
      </c>
      <c r="E42" s="149"/>
      <c r="F42" s="149"/>
      <c r="G42" s="150"/>
      <c r="H42" s="164"/>
      <c r="I42" s="5"/>
      <c r="J42" s="5"/>
      <c r="K42" s="5"/>
      <c r="L42" s="5"/>
      <c r="M42" s="8"/>
      <c r="N42" s="5"/>
      <c r="O42" s="5"/>
      <c r="P42" s="5"/>
      <c r="Q42" s="5"/>
    </row>
    <row r="43" spans="1:17" s="169" customFormat="1" ht="18.75" hidden="1" customHeight="1">
      <c r="A43" s="230" t="s">
        <v>141</v>
      </c>
      <c r="B43" s="68">
        <f>(2*D36*G6)+(G6*B36)</f>
        <v>198</v>
      </c>
      <c r="C43" s="74" t="s">
        <v>7</v>
      </c>
      <c r="D43" s="234" t="s">
        <v>136</v>
      </c>
      <c r="E43" s="68">
        <f>(G6*B37)+(2*D37*G6)+(B32*2)</f>
        <v>198</v>
      </c>
      <c r="F43" s="83" t="s">
        <v>7</v>
      </c>
      <c r="G43" s="2"/>
      <c r="H43" s="17"/>
      <c r="I43" s="34"/>
      <c r="J43" s="34"/>
      <c r="K43" s="6"/>
      <c r="L43" s="101"/>
      <c r="M43" s="6"/>
      <c r="N43" s="153" t="s">
        <v>82</v>
      </c>
      <c r="O43" s="5"/>
      <c r="P43" s="5"/>
      <c r="Q43" s="5"/>
    </row>
    <row r="44" spans="1:17" s="169" customFormat="1" ht="18.75" hidden="1" customHeight="1">
      <c r="A44" s="231" t="s">
        <v>84</v>
      </c>
      <c r="B44" s="68">
        <f>((2*D36*G6*(0.5*D36))/B43)</f>
        <v>12.375</v>
      </c>
      <c r="C44" s="74" t="s">
        <v>3</v>
      </c>
      <c r="D44" s="234" t="s">
        <v>146</v>
      </c>
      <c r="E44" s="68">
        <f>((2*B32*B28)+(2*D37*G6*(D36-(0.5*D37))))/E43</f>
        <v>12.375</v>
      </c>
      <c r="F44" s="84" t="s">
        <v>3</v>
      </c>
      <c r="G44" s="2"/>
      <c r="H44" s="17"/>
      <c r="J44" s="170"/>
      <c r="K44" s="170"/>
      <c r="L44" s="171"/>
      <c r="M44" s="6"/>
      <c r="N44" s="153" t="s">
        <v>85</v>
      </c>
      <c r="O44" s="5"/>
      <c r="P44" s="5"/>
      <c r="Q44" s="5"/>
    </row>
    <row r="45" spans="1:17" s="169" customFormat="1" ht="18.75" hidden="1" customHeight="1">
      <c r="A45" s="231" t="s">
        <v>86</v>
      </c>
      <c r="B45" s="68">
        <f>B36/2</f>
        <v>49.5</v>
      </c>
      <c r="C45" s="74" t="s">
        <v>3</v>
      </c>
      <c r="D45" s="234" t="s">
        <v>147</v>
      </c>
      <c r="E45" s="68">
        <f>B36/2</f>
        <v>49.5</v>
      </c>
      <c r="F45" s="83" t="s">
        <v>3</v>
      </c>
      <c r="G45" s="2"/>
      <c r="H45" s="17"/>
      <c r="I45" s="5"/>
      <c r="J45" s="170"/>
      <c r="K45" s="170"/>
      <c r="L45" s="172"/>
      <c r="M45" s="5"/>
      <c r="N45" s="153" t="s">
        <v>83</v>
      </c>
      <c r="O45" s="5"/>
      <c r="P45" s="5"/>
      <c r="Q45" s="5"/>
    </row>
    <row r="46" spans="1:17" s="169" customFormat="1" ht="18.75" hidden="1" customHeight="1">
      <c r="A46" s="230" t="s">
        <v>142</v>
      </c>
      <c r="B46" s="184">
        <f>(2*((D36*G6*POWER((B36/2),2))))+((1/12)*G6*POWER(B36,3))</f>
        <v>323433</v>
      </c>
      <c r="C46" s="168" t="s">
        <v>17</v>
      </c>
      <c r="D46" s="234" t="s">
        <v>148</v>
      </c>
      <c r="E46" s="184">
        <f>(2*((D37*G6*POWER((B36/2),2))))+((1/12)*G6*POWER(B37,3))+(2*(B31+(B32*POWER(((B37/2)+B30),2))))</f>
        <v>323433</v>
      </c>
      <c r="F46" s="167" t="s">
        <v>17</v>
      </c>
      <c r="G46" s="2"/>
      <c r="H46" s="17"/>
      <c r="I46" s="34"/>
      <c r="J46" s="170"/>
      <c r="K46" s="170"/>
      <c r="L46" s="5"/>
      <c r="M46" s="5"/>
      <c r="N46" s="153" t="s">
        <v>87</v>
      </c>
      <c r="O46" s="5"/>
      <c r="P46" s="5"/>
      <c r="Q46" s="5"/>
    </row>
    <row r="47" spans="1:17" s="169" customFormat="1" ht="18.75" hidden="1" customHeight="1">
      <c r="A47" s="230" t="s">
        <v>143</v>
      </c>
      <c r="B47" s="184">
        <f>(2*(((1/12)*G6*POWER(D36,3))+(G6*D36*(((D36/2)-B44)^2))))+(B36*G6*(B44^2))</f>
        <v>50536.40625</v>
      </c>
      <c r="C47" s="168" t="s">
        <v>17</v>
      </c>
      <c r="D47" s="234" t="s">
        <v>149</v>
      </c>
      <c r="E47" s="184">
        <f>(((B37*G6*POWER(E44,2)))+(2*(B31+(B32*POWER((E44-(B27-B30)),2))))+(2*(((1/12)*G6*POWER(D37,3))+(D37*G6*POWER((D36-(D37/2)-E44),2)))))</f>
        <v>50536.40625</v>
      </c>
      <c r="F47" s="167" t="s">
        <v>17</v>
      </c>
      <c r="G47" s="2"/>
      <c r="H47" s="17"/>
      <c r="I47" s="34"/>
      <c r="J47" s="170"/>
      <c r="K47" s="170"/>
      <c r="L47" s="171"/>
      <c r="N47" s="153" t="s">
        <v>73</v>
      </c>
      <c r="O47" s="5"/>
      <c r="P47" s="5"/>
      <c r="Q47" s="5"/>
    </row>
    <row r="48" spans="1:17" s="169" customFormat="1" ht="18.75" hidden="1" customHeight="1">
      <c r="A48" s="230" t="s">
        <v>144</v>
      </c>
      <c r="B48" s="68">
        <f>SQRT(B46/B43)</f>
        <v>40.416580755922439</v>
      </c>
      <c r="C48" s="74" t="s">
        <v>3</v>
      </c>
      <c r="D48" s="234" t="s">
        <v>150</v>
      </c>
      <c r="E48" s="68">
        <f>SQRT(E46/E43)</f>
        <v>40.416580755922439</v>
      </c>
      <c r="F48" s="84" t="s">
        <v>3</v>
      </c>
      <c r="G48" s="2"/>
      <c r="H48" s="17"/>
      <c r="I48" s="53"/>
      <c r="J48" s="170"/>
      <c r="K48" s="170"/>
      <c r="L48" s="5"/>
      <c r="M48" s="5"/>
      <c r="N48" s="153" t="s">
        <v>74</v>
      </c>
      <c r="O48" s="5"/>
      <c r="P48" s="5"/>
      <c r="Q48" s="5"/>
    </row>
    <row r="49" spans="1:17" s="169" customFormat="1" ht="18.75" hidden="1" customHeight="1" thickBot="1">
      <c r="A49" s="245" t="s">
        <v>145</v>
      </c>
      <c r="B49" s="69">
        <f>SQRT(B47/B43)</f>
        <v>15.976056303105594</v>
      </c>
      <c r="C49" s="66" t="s">
        <v>3</v>
      </c>
      <c r="D49" s="246" t="s">
        <v>151</v>
      </c>
      <c r="E49" s="69">
        <f>SQRT(E47/E43)</f>
        <v>15.976056303105594</v>
      </c>
      <c r="F49" s="102" t="s">
        <v>3</v>
      </c>
      <c r="G49" s="3"/>
      <c r="H49" s="25"/>
      <c r="I49" s="34"/>
      <c r="J49" s="37"/>
      <c r="K49" s="5"/>
      <c r="L49" s="5"/>
      <c r="M49" s="5"/>
      <c r="N49" s="153" t="s">
        <v>88</v>
      </c>
      <c r="O49" s="5"/>
      <c r="P49" s="5"/>
      <c r="Q49" s="5"/>
    </row>
    <row r="50" spans="1:17" s="169" customFormat="1" ht="15.75" hidden="1" customHeight="1">
      <c r="A50" s="36"/>
      <c r="B50" s="8"/>
      <c r="C50" s="8"/>
      <c r="D50" s="8"/>
      <c r="E50" s="36"/>
      <c r="F50" s="53"/>
      <c r="G50" s="8"/>
      <c r="H50" s="6"/>
      <c r="I50" s="34"/>
      <c r="J50" s="37"/>
      <c r="K50" s="6"/>
      <c r="L50" s="6"/>
      <c r="M50" s="6"/>
      <c r="N50" s="153" t="s">
        <v>89</v>
      </c>
      <c r="O50" s="5"/>
      <c r="P50" s="5"/>
      <c r="Q50" s="5"/>
    </row>
    <row r="51" spans="1:17" s="169" customFormat="1" ht="15.75" hidden="1" customHeight="1">
      <c r="A51" s="36"/>
      <c r="B51" s="8"/>
      <c r="C51" s="8"/>
      <c r="D51" s="8"/>
      <c r="E51" s="36"/>
      <c r="F51" s="53"/>
      <c r="G51" s="8"/>
      <c r="H51" s="6"/>
      <c r="I51" s="34"/>
      <c r="J51" s="37"/>
      <c r="K51" s="6"/>
      <c r="L51" s="6"/>
      <c r="M51" s="6"/>
      <c r="N51" s="153" t="s">
        <v>90</v>
      </c>
      <c r="O51" s="5"/>
      <c r="P51" s="5"/>
      <c r="Q51" s="5"/>
    </row>
    <row r="52" spans="1:17" s="169" customFormat="1" ht="15.75" hidden="1" customHeight="1">
      <c r="A52" s="36"/>
      <c r="B52" s="8"/>
      <c r="C52" s="8"/>
      <c r="D52" s="8"/>
      <c r="E52" s="36"/>
      <c r="F52" s="53"/>
      <c r="G52" s="8"/>
      <c r="H52" s="6"/>
      <c r="I52" s="34"/>
      <c r="J52" s="37"/>
      <c r="K52" s="6"/>
      <c r="L52" s="6"/>
      <c r="M52" s="6"/>
      <c r="N52" s="153" t="s">
        <v>91</v>
      </c>
      <c r="O52" s="5"/>
      <c r="P52" s="5"/>
      <c r="Q52" s="5"/>
    </row>
    <row r="53" spans="1:17" s="169" customFormat="1" ht="15.75" hidden="1" customHeight="1">
      <c r="A53" s="36"/>
      <c r="B53" s="8"/>
      <c r="C53" s="8"/>
      <c r="D53" s="8"/>
      <c r="E53" s="36"/>
      <c r="F53" s="53"/>
      <c r="G53" s="8"/>
      <c r="H53" s="6"/>
      <c r="I53" s="34"/>
      <c r="J53" s="37"/>
      <c r="K53" s="6"/>
      <c r="L53" s="6"/>
      <c r="M53" s="6"/>
      <c r="N53" s="153" t="s">
        <v>75</v>
      </c>
      <c r="O53" s="5"/>
      <c r="P53" s="5"/>
      <c r="Q53" s="5"/>
    </row>
    <row r="54" spans="1:17" s="169" customFormat="1" ht="15.75" hidden="1" customHeight="1">
      <c r="A54" s="36"/>
      <c r="B54" s="8"/>
      <c r="C54" s="8"/>
      <c r="D54" s="8"/>
      <c r="E54" s="36"/>
      <c r="F54" s="53"/>
      <c r="G54" s="8"/>
      <c r="H54" s="6"/>
      <c r="I54" s="34"/>
      <c r="J54" s="37"/>
      <c r="K54" s="6"/>
      <c r="L54" s="6"/>
      <c r="M54" s="6"/>
      <c r="N54" s="153" t="s">
        <v>76</v>
      </c>
      <c r="O54" s="5"/>
      <c r="P54" s="5"/>
      <c r="Q54" s="5"/>
    </row>
    <row r="55" spans="1:17" s="169" customFormat="1" ht="15.75" hidden="1" customHeight="1">
      <c r="A55" s="36"/>
      <c r="B55" s="8"/>
      <c r="C55" s="8"/>
      <c r="D55" s="8"/>
      <c r="E55" s="36"/>
      <c r="F55" s="53"/>
      <c r="G55" s="8"/>
      <c r="H55" s="6"/>
      <c r="I55" s="34"/>
      <c r="J55" s="37"/>
      <c r="K55" s="6"/>
      <c r="L55" s="6"/>
      <c r="M55" s="6"/>
      <c r="N55" s="153" t="s">
        <v>77</v>
      </c>
      <c r="O55" s="5"/>
      <c r="P55" s="5"/>
      <c r="Q55" s="5"/>
    </row>
    <row r="56" spans="1:17" s="169" customFormat="1" ht="15.75" hidden="1" customHeight="1">
      <c r="A56" s="36"/>
      <c r="B56" s="8"/>
      <c r="C56" s="8"/>
      <c r="D56" s="8"/>
      <c r="E56" s="36"/>
      <c r="F56" s="53"/>
      <c r="G56" s="8"/>
      <c r="H56" s="6"/>
      <c r="I56" s="34"/>
      <c r="J56" s="37"/>
      <c r="K56" s="6"/>
      <c r="L56" s="6"/>
      <c r="M56" s="6"/>
      <c r="N56" s="153" t="s">
        <v>78</v>
      </c>
      <c r="O56" s="5"/>
      <c r="P56" s="5"/>
      <c r="Q56" s="5"/>
    </row>
    <row r="57" spans="1:17" ht="14.25" hidden="1" customHeight="1">
      <c r="A57" s="36"/>
      <c r="B57" s="8"/>
      <c r="C57" s="8"/>
      <c r="D57" s="8"/>
      <c r="E57" s="36"/>
      <c r="F57" s="53"/>
      <c r="G57" s="8"/>
      <c r="H57" s="6"/>
      <c r="I57" s="34"/>
      <c r="J57" s="37"/>
      <c r="K57" s="6"/>
      <c r="L57" s="6"/>
      <c r="M57" s="6"/>
      <c r="N57" s="5"/>
      <c r="O57" s="5"/>
      <c r="P57" s="5"/>
      <c r="Q57" s="5"/>
    </row>
    <row r="58" spans="1:17" ht="14.25" hidden="1" customHeight="1">
      <c r="A58" s="36"/>
      <c r="B58" s="8"/>
      <c r="C58" s="8"/>
      <c r="D58" s="8"/>
      <c r="E58" s="36"/>
      <c r="F58" s="53"/>
      <c r="G58" s="8"/>
      <c r="H58" s="6"/>
      <c r="I58" s="34"/>
      <c r="J58" s="37"/>
      <c r="K58" s="6"/>
      <c r="L58" s="6"/>
      <c r="M58" s="6"/>
      <c r="N58" s="5"/>
      <c r="O58" s="5"/>
      <c r="P58" s="5"/>
      <c r="Q58" s="5"/>
    </row>
    <row r="59" spans="1:17" ht="14.25" hidden="1" customHeight="1">
      <c r="A59" s="36"/>
      <c r="B59" s="8"/>
      <c r="C59" s="8"/>
      <c r="D59" s="8"/>
      <c r="E59" s="36"/>
      <c r="F59" s="53"/>
      <c r="G59" s="8"/>
      <c r="H59" s="6"/>
      <c r="I59" s="34"/>
      <c r="J59" s="37"/>
      <c r="K59" s="6"/>
      <c r="L59" s="6"/>
      <c r="M59" s="6"/>
      <c r="N59" s="5"/>
      <c r="O59" s="5"/>
      <c r="P59" s="5"/>
      <c r="Q59" s="5"/>
    </row>
    <row r="60" spans="1:17" ht="14.25" hidden="1" customHeight="1">
      <c r="A60" s="36"/>
      <c r="B60" s="8"/>
      <c r="C60" s="8"/>
      <c r="D60" s="8"/>
      <c r="E60" s="36"/>
      <c r="F60" s="53"/>
      <c r="G60" s="8"/>
      <c r="H60" s="6"/>
      <c r="I60" s="34"/>
      <c r="J60" s="37"/>
      <c r="K60" s="6"/>
      <c r="L60" s="6"/>
      <c r="M60" s="6"/>
      <c r="N60" s="5"/>
      <c r="O60" s="5"/>
      <c r="P60" s="5"/>
      <c r="Q60" s="5"/>
    </row>
    <row r="61" spans="1:17" ht="14.25" hidden="1" customHeight="1">
      <c r="A61" s="36"/>
      <c r="B61" s="8"/>
      <c r="C61" s="8"/>
      <c r="D61" s="8"/>
      <c r="E61" s="36"/>
      <c r="F61" s="53"/>
      <c r="G61" s="8"/>
      <c r="H61" s="6"/>
      <c r="I61" s="34"/>
      <c r="J61" s="37"/>
      <c r="K61" s="6"/>
      <c r="L61" s="6"/>
      <c r="M61" s="6"/>
      <c r="N61" s="5"/>
      <c r="O61" s="5"/>
      <c r="P61" s="5"/>
      <c r="Q61" s="5"/>
    </row>
    <row r="62" spans="1:17" ht="14.25" hidden="1" customHeight="1">
      <c r="A62" s="36"/>
      <c r="B62" s="8"/>
      <c r="C62" s="8"/>
      <c r="D62" s="8"/>
      <c r="E62" s="36"/>
      <c r="F62" s="53"/>
      <c r="G62" s="8"/>
      <c r="H62" s="6"/>
      <c r="I62" s="34"/>
      <c r="J62" s="37"/>
      <c r="K62" s="6"/>
      <c r="L62" s="6"/>
      <c r="M62" s="6"/>
      <c r="N62" s="5"/>
      <c r="O62" s="5"/>
      <c r="P62" s="5"/>
      <c r="Q62" s="5"/>
    </row>
    <row r="63" spans="1:17" ht="14.25" hidden="1" customHeight="1">
      <c r="A63" s="36"/>
      <c r="B63" s="8"/>
      <c r="C63" s="8"/>
      <c r="D63" s="8"/>
      <c r="E63" s="36"/>
      <c r="F63" s="53"/>
      <c r="G63" s="8"/>
      <c r="H63" s="6"/>
      <c r="I63" s="34"/>
      <c r="J63" s="37"/>
      <c r="K63" s="6"/>
      <c r="L63" s="6"/>
      <c r="M63" s="6"/>
      <c r="N63" s="5"/>
      <c r="O63" s="5"/>
      <c r="P63" s="5"/>
      <c r="Q63" s="5"/>
    </row>
    <row r="64" spans="1:17" ht="14.25" hidden="1" customHeight="1">
      <c r="A64" s="36"/>
      <c r="B64" s="8"/>
      <c r="C64" s="8"/>
      <c r="D64" s="8"/>
      <c r="E64" s="36"/>
      <c r="F64" s="53"/>
      <c r="G64" s="8"/>
      <c r="H64" s="6"/>
      <c r="I64" s="34"/>
      <c r="J64" s="37"/>
      <c r="K64" s="6"/>
      <c r="L64" s="6"/>
      <c r="M64" s="6"/>
      <c r="N64" s="5"/>
      <c r="O64" s="5"/>
      <c r="P64" s="5"/>
      <c r="Q64" s="5"/>
    </row>
    <row r="65" spans="1:17" ht="14.25" hidden="1" customHeight="1">
      <c r="A65" s="36"/>
      <c r="B65" s="8"/>
      <c r="C65" s="8"/>
      <c r="D65" s="8"/>
      <c r="E65" s="36"/>
      <c r="F65" s="53"/>
      <c r="G65" s="8"/>
      <c r="H65" s="6"/>
      <c r="I65" s="34"/>
      <c r="J65" s="37"/>
      <c r="K65" s="6"/>
      <c r="L65" s="6"/>
      <c r="M65" s="6"/>
      <c r="N65" s="5"/>
      <c r="O65" s="5"/>
      <c r="P65" s="5"/>
      <c r="Q65" s="5"/>
    </row>
    <row r="66" spans="1:17" ht="14.25" hidden="1" customHeight="1">
      <c r="A66" s="36"/>
      <c r="B66" s="8"/>
      <c r="C66" s="8"/>
      <c r="D66" s="8"/>
      <c r="E66" s="36"/>
      <c r="F66" s="53"/>
      <c r="G66" s="8"/>
      <c r="H66" s="6"/>
      <c r="I66" s="34"/>
      <c r="J66" s="37"/>
      <c r="K66" s="6"/>
      <c r="L66" s="6"/>
      <c r="M66" s="6"/>
      <c r="N66" s="5"/>
      <c r="O66" s="5"/>
      <c r="P66" s="5"/>
      <c r="Q66" s="5"/>
    </row>
    <row r="67" spans="1:17" ht="14.25" hidden="1" customHeight="1">
      <c r="A67" s="36"/>
      <c r="B67" s="8"/>
      <c r="C67" s="8"/>
      <c r="D67" s="8"/>
      <c r="E67" s="36"/>
      <c r="F67" s="53"/>
      <c r="G67" s="8"/>
      <c r="H67" s="6"/>
      <c r="I67" s="34"/>
      <c r="J67" s="37"/>
      <c r="K67" s="6"/>
      <c r="L67" s="6"/>
      <c r="M67" s="6"/>
      <c r="N67" s="5"/>
      <c r="O67" s="5"/>
      <c r="P67" s="5"/>
      <c r="Q67" s="5"/>
    </row>
    <row r="68" spans="1:17" ht="14.25" hidden="1" customHeight="1">
      <c r="A68" s="36"/>
      <c r="B68" s="8"/>
      <c r="C68" s="8"/>
      <c r="D68" s="8"/>
      <c r="E68" s="36"/>
      <c r="F68" s="53"/>
      <c r="G68" s="8"/>
      <c r="H68" s="6"/>
      <c r="I68" s="34"/>
      <c r="J68" s="37"/>
      <c r="K68" s="6"/>
      <c r="L68" s="6"/>
      <c r="M68" s="6"/>
      <c r="N68" s="5"/>
      <c r="O68" s="5"/>
      <c r="P68" s="5"/>
      <c r="Q68" s="5"/>
    </row>
    <row r="69" spans="1:17" ht="14.25" hidden="1" customHeight="1">
      <c r="A69" s="36"/>
      <c r="B69" s="8"/>
      <c r="C69" s="8"/>
      <c r="D69" s="8"/>
      <c r="E69" s="36"/>
      <c r="F69" s="53"/>
      <c r="G69" s="8"/>
      <c r="H69" s="6"/>
      <c r="I69" s="34"/>
      <c r="J69" s="37"/>
      <c r="K69" s="6"/>
      <c r="L69" s="6"/>
      <c r="M69" s="6"/>
      <c r="N69" s="5"/>
      <c r="O69" s="5"/>
      <c r="P69" s="5"/>
      <c r="Q69" s="5"/>
    </row>
    <row r="70" spans="1:17" ht="14.25" hidden="1" customHeight="1">
      <c r="A70" s="36"/>
      <c r="B70" s="8"/>
      <c r="C70" s="8"/>
      <c r="D70" s="8"/>
      <c r="E70" s="36"/>
      <c r="F70" s="53"/>
      <c r="G70" s="8"/>
      <c r="H70" s="6"/>
      <c r="I70" s="34"/>
      <c r="J70" s="37"/>
      <c r="K70" s="6"/>
      <c r="L70" s="6"/>
      <c r="M70" s="6"/>
      <c r="N70" s="5"/>
      <c r="O70" s="5"/>
      <c r="P70" s="5"/>
      <c r="Q70" s="5"/>
    </row>
    <row r="71" spans="1:17" ht="14.25" hidden="1" customHeight="1">
      <c r="A71" s="36"/>
      <c r="B71" s="8"/>
      <c r="C71" s="8"/>
      <c r="D71" s="8"/>
      <c r="E71" s="36"/>
      <c r="F71" s="53"/>
      <c r="G71" s="8"/>
      <c r="H71" s="6"/>
      <c r="I71" s="34"/>
      <c r="J71" s="37"/>
      <c r="K71" s="6"/>
      <c r="L71" s="6"/>
      <c r="M71" s="6"/>
      <c r="N71" s="5"/>
      <c r="O71" s="5"/>
      <c r="P71" s="5"/>
      <c r="Q71" s="5"/>
    </row>
    <row r="72" spans="1:17" ht="14.25" hidden="1" customHeight="1">
      <c r="A72" s="36"/>
      <c r="B72" s="8"/>
      <c r="C72" s="8"/>
      <c r="D72" s="8"/>
      <c r="E72" s="36"/>
      <c r="F72" s="53"/>
      <c r="G72" s="8"/>
      <c r="H72" s="6"/>
      <c r="I72" s="34"/>
      <c r="J72" s="37"/>
      <c r="K72" s="6"/>
      <c r="L72" s="6"/>
      <c r="M72" s="6"/>
      <c r="N72" s="5"/>
      <c r="O72" s="5"/>
      <c r="P72" s="5"/>
      <c r="Q72" s="5"/>
    </row>
    <row r="73" spans="1:17" ht="14.25" hidden="1" customHeight="1">
      <c r="A73" s="36"/>
      <c r="B73" s="8"/>
      <c r="C73" s="8"/>
      <c r="D73" s="8"/>
      <c r="E73" s="36"/>
      <c r="F73" s="53"/>
      <c r="G73" s="8"/>
      <c r="H73" s="6"/>
      <c r="I73" s="34"/>
      <c r="J73" s="37"/>
      <c r="K73" s="6"/>
      <c r="L73" s="6"/>
      <c r="M73" s="6"/>
      <c r="N73" s="5"/>
      <c r="O73" s="5"/>
      <c r="P73" s="5"/>
      <c r="Q73" s="5"/>
    </row>
    <row r="74" spans="1:17" ht="14.25" hidden="1" customHeight="1">
      <c r="A74" s="36"/>
      <c r="B74" s="8"/>
      <c r="C74" s="8"/>
      <c r="D74" s="8"/>
      <c r="E74" s="36"/>
      <c r="F74" s="53"/>
      <c r="G74" s="8"/>
      <c r="H74" s="6"/>
      <c r="I74" s="34"/>
      <c r="J74" s="37"/>
      <c r="K74" s="6"/>
      <c r="L74" s="6"/>
      <c r="M74" s="6"/>
      <c r="N74" s="5"/>
      <c r="O74" s="5"/>
      <c r="P74" s="5"/>
      <c r="Q74" s="5"/>
    </row>
    <row r="75" spans="1:17" ht="14.25" hidden="1" customHeight="1">
      <c r="A75" s="36"/>
      <c r="B75" s="8"/>
      <c r="C75" s="8"/>
      <c r="D75" s="8"/>
      <c r="E75" s="36"/>
      <c r="F75" s="53"/>
      <c r="G75" s="8"/>
      <c r="H75" s="6"/>
      <c r="I75" s="34"/>
      <c r="J75" s="37"/>
      <c r="K75" s="6"/>
      <c r="L75" s="6"/>
      <c r="M75" s="6"/>
      <c r="N75" s="5"/>
      <c r="O75" s="5"/>
      <c r="P75" s="5"/>
      <c r="Q75" s="5"/>
    </row>
    <row r="76" spans="1:17" s="175" customFormat="1" ht="14.25" hidden="1" customHeight="1" thickBot="1">
      <c r="A76" s="36"/>
      <c r="B76" s="8"/>
      <c r="C76" s="8"/>
      <c r="D76" s="8"/>
      <c r="E76" s="36"/>
      <c r="F76" s="53"/>
      <c r="G76" s="8"/>
      <c r="H76" s="6"/>
      <c r="I76" s="34"/>
      <c r="J76" s="37"/>
      <c r="K76" s="6"/>
      <c r="L76" s="6"/>
      <c r="M76" s="6"/>
      <c r="N76" s="5"/>
      <c r="O76" s="5"/>
      <c r="P76" s="5"/>
      <c r="Q76" s="5"/>
    </row>
    <row r="77" spans="1:17" ht="15.75" thickBot="1">
      <c r="A77" s="279" t="s">
        <v>188</v>
      </c>
      <c r="B77" s="48"/>
      <c r="C77" s="48"/>
      <c r="D77" s="48"/>
      <c r="E77" s="52"/>
      <c r="F77" s="48"/>
      <c r="G77" s="52"/>
      <c r="H77" s="54"/>
      <c r="I77" s="6"/>
      <c r="J77" s="6"/>
      <c r="K77" s="6"/>
      <c r="L77" s="8"/>
      <c r="M77" s="8"/>
      <c r="N77" s="8"/>
      <c r="O77" s="5"/>
    </row>
    <row r="78" spans="1:17" ht="18.75" customHeight="1">
      <c r="A78" s="120"/>
      <c r="B78" s="46"/>
      <c r="C78" s="46"/>
      <c r="D78" s="46"/>
      <c r="E78" s="46"/>
      <c r="F78" s="46"/>
      <c r="G78" s="46"/>
      <c r="H78" s="80"/>
      <c r="I78" s="8"/>
      <c r="J78" s="8"/>
      <c r="K78" s="8"/>
      <c r="L78" s="73"/>
    </row>
    <row r="79" spans="1:17" ht="14.25" customHeight="1">
      <c r="A79" s="1"/>
      <c r="B79" s="276"/>
      <c r="C79" s="8"/>
      <c r="D79" s="53"/>
      <c r="E79" s="6"/>
      <c r="F79" s="276"/>
      <c r="G79" s="276"/>
      <c r="H79" s="58"/>
      <c r="I79" s="2"/>
      <c r="J79" s="2"/>
      <c r="K79" s="2"/>
      <c r="N79" s="8"/>
      <c r="O79" s="5"/>
    </row>
    <row r="80" spans="1:17" ht="14.25" customHeight="1">
      <c r="A80" s="1"/>
      <c r="B80" s="276"/>
      <c r="C80" s="8"/>
      <c r="D80" s="6"/>
      <c r="E80" s="6"/>
      <c r="F80" s="276"/>
      <c r="G80" s="276"/>
      <c r="H80" s="58"/>
      <c r="I80" s="2"/>
      <c r="J80" s="2"/>
      <c r="K80" s="2"/>
      <c r="L80" s="8"/>
      <c r="M80" s="8"/>
      <c r="N80" s="8"/>
      <c r="O80" s="5"/>
    </row>
    <row r="81" spans="1:26" ht="14.25" customHeight="1">
      <c r="A81" s="1"/>
      <c r="B81" s="276"/>
      <c r="C81" s="8"/>
      <c r="D81" s="6"/>
      <c r="E81" s="6"/>
      <c r="F81" s="276"/>
      <c r="G81" s="276"/>
      <c r="H81" s="58"/>
      <c r="I81" s="2"/>
      <c r="J81" s="2"/>
      <c r="K81" s="2"/>
      <c r="L81" s="8"/>
      <c r="M81" s="8"/>
      <c r="N81" s="8"/>
      <c r="O81" s="5"/>
    </row>
    <row r="82" spans="1:26" ht="14.25" customHeight="1">
      <c r="A82" s="1"/>
      <c r="B82" s="276"/>
      <c r="C82" s="276"/>
      <c r="D82" s="276"/>
      <c r="E82" s="276"/>
      <c r="F82" s="276"/>
      <c r="G82" s="276"/>
      <c r="H82" s="58"/>
      <c r="I82" s="2"/>
      <c r="J82" s="2"/>
      <c r="K82" s="2"/>
      <c r="L82" s="103"/>
      <c r="M82" s="103"/>
      <c r="N82" s="8"/>
      <c r="O82" s="5"/>
    </row>
    <row r="83" spans="1:26" ht="14.25" customHeight="1">
      <c r="A83" s="1"/>
      <c r="B83" s="276"/>
      <c r="C83" s="276"/>
      <c r="D83" s="276"/>
      <c r="E83" s="276"/>
      <c r="F83" s="276"/>
      <c r="G83" s="276"/>
      <c r="H83" s="58"/>
      <c r="I83" s="2"/>
      <c r="J83" s="2"/>
      <c r="K83" s="2"/>
      <c r="L83" s="103"/>
      <c r="M83" s="103"/>
      <c r="N83" s="8"/>
      <c r="O83" s="5"/>
    </row>
    <row r="84" spans="1:26" ht="14.25" customHeight="1">
      <c r="A84" s="1"/>
      <c r="B84" s="276"/>
      <c r="C84" s="276"/>
      <c r="D84" s="276"/>
      <c r="E84" s="276"/>
      <c r="F84" s="276"/>
      <c r="G84" s="276"/>
      <c r="H84" s="58"/>
      <c r="I84" s="2"/>
      <c r="J84" s="2"/>
      <c r="K84" s="2"/>
      <c r="L84" s="103"/>
      <c r="M84" s="103"/>
      <c r="N84" s="8"/>
      <c r="O84" s="5"/>
    </row>
    <row r="85" spans="1:26" ht="14.25" customHeight="1">
      <c r="A85" s="1"/>
      <c r="B85" s="276"/>
      <c r="C85" s="276"/>
      <c r="D85" s="276"/>
      <c r="E85" s="276"/>
      <c r="F85" s="276"/>
      <c r="G85" s="276"/>
      <c r="H85" s="58"/>
      <c r="I85" s="2"/>
      <c r="J85" s="2"/>
      <c r="K85" s="2"/>
      <c r="L85" s="103"/>
      <c r="M85" s="103"/>
      <c r="N85" s="8"/>
      <c r="O85" s="5"/>
    </row>
    <row r="86" spans="1:26" ht="14.25" customHeight="1">
      <c r="A86" s="1"/>
      <c r="B86" s="276"/>
      <c r="C86" s="276"/>
      <c r="D86" s="276"/>
      <c r="E86" s="276"/>
      <c r="F86" s="276"/>
      <c r="G86" s="276"/>
      <c r="H86" s="58"/>
      <c r="I86" s="2"/>
      <c r="J86" s="2"/>
      <c r="K86" s="2"/>
      <c r="L86" s="103"/>
      <c r="M86" s="103"/>
      <c r="N86" s="8"/>
      <c r="O86" s="5"/>
    </row>
    <row r="87" spans="1:26" ht="14.25" customHeight="1">
      <c r="A87" s="1"/>
      <c r="B87" s="276"/>
      <c r="C87" s="276"/>
      <c r="D87" s="276"/>
      <c r="E87" s="276"/>
      <c r="F87" s="276"/>
      <c r="G87" s="276"/>
      <c r="H87" s="58"/>
      <c r="I87" s="2"/>
      <c r="J87" s="2"/>
      <c r="K87" s="2"/>
      <c r="L87" s="103"/>
      <c r="M87" s="103"/>
      <c r="N87" s="8"/>
      <c r="O87" s="5"/>
    </row>
    <row r="88" spans="1:26" ht="14.25" customHeight="1">
      <c r="A88" s="128"/>
      <c r="B88" s="129"/>
      <c r="C88" s="24"/>
      <c r="D88" s="8"/>
      <c r="E88" s="8"/>
      <c r="F88" s="24"/>
      <c r="G88" s="8"/>
      <c r="H88" s="15"/>
      <c r="I88" s="24"/>
      <c r="J88" s="8"/>
      <c r="K88" s="8"/>
      <c r="M88" s="8"/>
      <c r="N88" s="8"/>
      <c r="O88" s="5"/>
    </row>
    <row r="89" spans="1:26" ht="14.25" customHeight="1">
      <c r="A89" s="81"/>
      <c r="B89" s="8"/>
      <c r="C89" s="6"/>
      <c r="D89" s="8"/>
      <c r="E89" s="8"/>
      <c r="F89" s="6"/>
      <c r="G89" s="36"/>
      <c r="H89" s="15"/>
      <c r="I89" s="8"/>
      <c r="J89" s="8"/>
      <c r="K89" s="8"/>
      <c r="L89" s="5"/>
      <c r="M89" s="5"/>
      <c r="N89" s="5"/>
      <c r="O89" s="5"/>
    </row>
    <row r="90" spans="1:26" ht="14.25" customHeight="1">
      <c r="A90" s="120"/>
      <c r="B90" s="8"/>
      <c r="C90" s="6"/>
      <c r="D90" s="8"/>
      <c r="E90" s="8"/>
      <c r="F90" s="6"/>
      <c r="G90" s="36"/>
      <c r="H90" s="15"/>
      <c r="I90" s="8"/>
      <c r="J90" s="8"/>
      <c r="K90" s="8"/>
      <c r="L90" s="5"/>
      <c r="M90" s="5"/>
      <c r="N90" s="5"/>
      <c r="O90" s="5"/>
    </row>
    <row r="91" spans="1:26" ht="14.25" customHeight="1">
      <c r="A91" s="120"/>
      <c r="B91" s="8"/>
      <c r="C91" s="6"/>
      <c r="D91" s="8"/>
      <c r="E91" s="8"/>
      <c r="F91" s="6"/>
      <c r="G91" s="36"/>
      <c r="H91" s="15"/>
      <c r="I91"/>
      <c r="J91" s="8"/>
      <c r="K91" s="8"/>
      <c r="L91" s="5"/>
      <c r="M91" s="5"/>
      <c r="N91" s="5"/>
      <c r="O91" s="5"/>
      <c r="P91" s="175"/>
      <c r="Q91" s="175"/>
      <c r="R91" s="175"/>
      <c r="S91" s="175"/>
      <c r="T91" s="175"/>
      <c r="U91" s="175"/>
      <c r="V91" s="175"/>
      <c r="W91" s="175"/>
      <c r="X91" s="175"/>
      <c r="Y91" s="175"/>
      <c r="Z91" s="175"/>
    </row>
    <row r="92" spans="1:26" ht="18.75" customHeight="1">
      <c r="A92" s="120"/>
      <c r="B92" s="8"/>
      <c r="C92" s="6"/>
      <c r="D92" s="8"/>
      <c r="E92" s="8"/>
      <c r="F92" s="6"/>
      <c r="G92" s="36"/>
      <c r="H92" s="15"/>
      <c r="I92" s="8"/>
      <c r="J92" s="8"/>
      <c r="K92" s="8"/>
      <c r="L92" s="5"/>
      <c r="M92" s="5"/>
      <c r="N92" s="5"/>
      <c r="O92" s="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</row>
    <row r="93" spans="1:26" ht="18.75" customHeight="1">
      <c r="A93" s="81"/>
      <c r="B93" s="8"/>
      <c r="C93" s="6"/>
      <c r="D93" s="8"/>
      <c r="E93" s="8"/>
      <c r="F93" s="6"/>
      <c r="G93" s="36"/>
      <c r="H93" s="15"/>
      <c r="I93" s="290"/>
      <c r="J93" s="290"/>
      <c r="K93" s="290"/>
      <c r="L93" s="5"/>
      <c r="M93" s="5"/>
      <c r="N93" s="5"/>
      <c r="O93" s="5"/>
    </row>
    <row r="94" spans="1:26" ht="18.75" customHeight="1">
      <c r="A94" s="136" t="s">
        <v>49</v>
      </c>
      <c r="B94" s="76"/>
      <c r="C94" s="130" t="s">
        <v>48</v>
      </c>
      <c r="D94" s="76"/>
      <c r="E94" s="131"/>
      <c r="F94" s="132" t="s">
        <v>47</v>
      </c>
      <c r="G94" s="132" t="s">
        <v>35</v>
      </c>
      <c r="H94" s="137" t="s">
        <v>46</v>
      </c>
      <c r="I94" s="162"/>
      <c r="J94" s="162"/>
      <c r="K94" s="162"/>
      <c r="L94" s="5"/>
      <c r="M94" s="5"/>
      <c r="N94" s="5"/>
      <c r="O94" s="5"/>
    </row>
    <row r="95" spans="1:26" ht="18.75" customHeight="1">
      <c r="A95" s="321" t="s">
        <v>36</v>
      </c>
      <c r="B95" s="322"/>
      <c r="C95" s="323" t="s">
        <v>58</v>
      </c>
      <c r="D95" s="323"/>
      <c r="E95" s="323"/>
      <c r="F95" s="247" t="s">
        <v>10</v>
      </c>
      <c r="G95" s="107" t="s">
        <v>38</v>
      </c>
      <c r="H95" s="185">
        <v>1</v>
      </c>
      <c r="I95" s="320" t="s">
        <v>68</v>
      </c>
      <c r="J95" s="320"/>
      <c r="K95" s="162"/>
      <c r="L95" s="5"/>
      <c r="M95" s="5"/>
      <c r="N95" s="5"/>
      <c r="O95" s="5"/>
    </row>
    <row r="96" spans="1:26" ht="18.75" customHeight="1">
      <c r="A96" s="316" t="s">
        <v>190</v>
      </c>
      <c r="B96" s="317"/>
      <c r="C96" s="318" t="s">
        <v>59</v>
      </c>
      <c r="D96" s="297"/>
      <c r="E96" s="319"/>
      <c r="F96" s="248" t="s">
        <v>108</v>
      </c>
      <c r="G96" s="39" t="s">
        <v>38</v>
      </c>
      <c r="H96" s="186">
        <v>4</v>
      </c>
      <c r="I96" s="320" t="s">
        <v>68</v>
      </c>
      <c r="J96" s="320"/>
      <c r="K96" s="162"/>
      <c r="L96" s="5"/>
      <c r="M96" s="5"/>
      <c r="N96" s="5"/>
      <c r="O96" s="5"/>
    </row>
    <row r="97" spans="1:15" ht="18.75" customHeight="1">
      <c r="A97" s="289"/>
      <c r="B97" s="324"/>
      <c r="C97" s="325"/>
      <c r="D97" s="305"/>
      <c r="E97" s="326"/>
      <c r="F97" s="249" t="s">
        <v>8</v>
      </c>
      <c r="G97" s="39"/>
      <c r="H97" s="186">
        <f>SQRT(235/B7)</f>
        <v>0.81940745141142779</v>
      </c>
      <c r="I97" s="320" t="s">
        <v>56</v>
      </c>
      <c r="J97" s="320"/>
      <c r="K97" s="162"/>
      <c r="L97" s="5"/>
      <c r="M97" s="5"/>
      <c r="N97" s="5"/>
      <c r="O97" s="5"/>
    </row>
    <row r="98" spans="1:15" ht="18.75" customHeight="1">
      <c r="A98" s="289"/>
      <c r="B98" s="324"/>
      <c r="C98" s="325"/>
      <c r="D98" s="305"/>
      <c r="E98" s="326"/>
      <c r="F98" s="276"/>
      <c r="G98" s="75" t="s">
        <v>3</v>
      </c>
      <c r="H98" s="71">
        <f>B38</f>
        <v>99</v>
      </c>
      <c r="I98" s="320"/>
      <c r="J98" s="320"/>
      <c r="K98" s="162"/>
      <c r="L98" s="5"/>
      <c r="M98" s="5"/>
      <c r="N98" s="5"/>
      <c r="O98" s="5"/>
    </row>
    <row r="99" spans="1:15" ht="18.75" customHeight="1">
      <c r="A99" s="327"/>
      <c r="B99" s="326"/>
      <c r="C99" s="318" t="s">
        <v>37</v>
      </c>
      <c r="D99" s="297"/>
      <c r="E99" s="319"/>
      <c r="F99" s="276"/>
      <c r="G99" s="39" t="s">
        <v>38</v>
      </c>
      <c r="H99" s="269">
        <f>(H98/G6)/(28.4*H97*SQRT(H96))</f>
        <v>2.1270953095149818</v>
      </c>
      <c r="I99" s="320" t="s">
        <v>56</v>
      </c>
      <c r="J99" s="320"/>
      <c r="K99" s="117"/>
      <c r="L99" s="5"/>
      <c r="M99" s="5"/>
      <c r="O99" s="5"/>
    </row>
    <row r="100" spans="1:15" ht="18.75" customHeight="1">
      <c r="A100" s="327"/>
      <c r="B100" s="326"/>
      <c r="C100" s="318" t="s">
        <v>39</v>
      </c>
      <c r="D100" s="297"/>
      <c r="E100" s="319"/>
      <c r="F100" s="250" t="s">
        <v>9</v>
      </c>
      <c r="G100" s="39" t="s">
        <v>38</v>
      </c>
      <c r="H100" s="187">
        <f>IF(H99&gt;0.673,(H99-0.055*(3+H95))/POWER(H99,2),1)</f>
        <v>0.42150089211650682</v>
      </c>
      <c r="I100" s="320" t="s">
        <v>56</v>
      </c>
      <c r="J100" s="320"/>
      <c r="K100" s="118"/>
      <c r="L100" s="5"/>
      <c r="M100" s="5"/>
      <c r="N100" s="5"/>
      <c r="O100" s="5"/>
    </row>
    <row r="101" spans="1:15" ht="18.75" customHeight="1">
      <c r="A101" s="327"/>
      <c r="B101" s="326"/>
      <c r="C101" s="318" t="s">
        <v>40</v>
      </c>
      <c r="D101" s="297"/>
      <c r="E101" s="319"/>
      <c r="F101" s="217" t="s">
        <v>21</v>
      </c>
      <c r="G101" s="74" t="s">
        <v>3</v>
      </c>
      <c r="H101" s="138">
        <f>H100*H98</f>
        <v>41.728588319534175</v>
      </c>
      <c r="I101" s="320" t="s">
        <v>68</v>
      </c>
      <c r="J101" s="320"/>
      <c r="K101" s="118"/>
      <c r="L101"/>
      <c r="M101" s="255"/>
      <c r="N101" s="255"/>
      <c r="O101" s="255"/>
    </row>
    <row r="102" spans="1:15" ht="18.75" customHeight="1">
      <c r="A102" s="327"/>
      <c r="B102" s="326"/>
      <c r="C102" s="325"/>
      <c r="D102" s="305"/>
      <c r="E102" s="326"/>
      <c r="F102" s="217" t="s">
        <v>152</v>
      </c>
      <c r="G102" s="74" t="s">
        <v>3</v>
      </c>
      <c r="H102" s="138">
        <f>0.5*H101</f>
        <v>20.864294159767088</v>
      </c>
      <c r="I102" s="320" t="s">
        <v>68</v>
      </c>
      <c r="J102" s="320"/>
      <c r="K102" s="118"/>
      <c r="L102" s="255"/>
      <c r="M102" s="255"/>
      <c r="N102"/>
      <c r="O102" s="255"/>
    </row>
    <row r="103" spans="1:15" ht="18.75" customHeight="1">
      <c r="A103" s="327"/>
      <c r="B103" s="326"/>
      <c r="C103" s="325"/>
      <c r="D103" s="305"/>
      <c r="E103" s="326"/>
      <c r="F103" s="217" t="s">
        <v>153</v>
      </c>
      <c r="G103" s="74" t="s">
        <v>3</v>
      </c>
      <c r="H103" s="138">
        <f>H102</f>
        <v>20.864294159767088</v>
      </c>
      <c r="I103" s="320" t="s">
        <v>68</v>
      </c>
      <c r="J103" s="320"/>
      <c r="K103" s="118"/>
      <c r="L103" s="255"/>
      <c r="M103" s="255"/>
      <c r="N103" s="255"/>
      <c r="O103" s="255"/>
    </row>
    <row r="104" spans="1:15" ht="18.75" customHeight="1">
      <c r="A104" s="327"/>
      <c r="B104" s="326"/>
      <c r="C104" s="318" t="s">
        <v>60</v>
      </c>
      <c r="D104" s="297"/>
      <c r="E104" s="319"/>
      <c r="F104" s="215" t="s">
        <v>154</v>
      </c>
      <c r="G104" s="74" t="s">
        <v>3</v>
      </c>
      <c r="H104" s="138">
        <f>H102</f>
        <v>20.864294159767088</v>
      </c>
      <c r="I104" s="118"/>
      <c r="J104" s="118"/>
      <c r="K104" s="118"/>
      <c r="L104" s="255" t="s">
        <v>177</v>
      </c>
      <c r="M104" s="255"/>
      <c r="N104" s="255"/>
      <c r="O104" s="255"/>
    </row>
    <row r="105" spans="1:15" ht="18.75" customHeight="1">
      <c r="A105" s="327"/>
      <c r="B105" s="326"/>
      <c r="C105" s="318" t="s">
        <v>60</v>
      </c>
      <c r="D105" s="297"/>
      <c r="E105" s="319"/>
      <c r="F105" s="215" t="s">
        <v>155</v>
      </c>
      <c r="G105" s="74" t="s">
        <v>3</v>
      </c>
      <c r="H105" s="138">
        <f>H103</f>
        <v>20.864294159767088</v>
      </c>
      <c r="I105" s="118"/>
      <c r="J105" s="118"/>
      <c r="K105" s="118"/>
      <c r="L105" s="255" t="s">
        <v>178</v>
      </c>
      <c r="M105" s="255"/>
      <c r="N105" s="255"/>
      <c r="O105" s="255"/>
    </row>
    <row r="106" spans="1:15" ht="18.75" customHeight="1">
      <c r="A106" s="327"/>
      <c r="B106" s="326"/>
      <c r="C106" s="318" t="s">
        <v>60</v>
      </c>
      <c r="D106" s="297"/>
      <c r="E106" s="319"/>
      <c r="F106" s="215" t="s">
        <v>157</v>
      </c>
      <c r="G106" s="74" t="s">
        <v>3</v>
      </c>
      <c r="H106" s="138">
        <f>H104+B28</f>
        <v>20.864294159767088</v>
      </c>
      <c r="I106" s="118"/>
      <c r="J106" s="118"/>
      <c r="K106" s="118"/>
      <c r="L106" s="255" t="s">
        <v>179</v>
      </c>
      <c r="M106" s="255"/>
      <c r="N106" s="255"/>
      <c r="O106" s="255"/>
    </row>
    <row r="107" spans="1:15" ht="18.75" customHeight="1">
      <c r="A107" s="327"/>
      <c r="B107" s="326"/>
      <c r="C107" s="318" t="s">
        <v>60</v>
      </c>
      <c r="D107" s="297"/>
      <c r="E107" s="319"/>
      <c r="F107" s="215" t="s">
        <v>158</v>
      </c>
      <c r="G107" s="74" t="s">
        <v>3</v>
      </c>
      <c r="H107" s="138">
        <f>H106</f>
        <v>20.864294159767088</v>
      </c>
      <c r="I107" s="118"/>
      <c r="J107" s="118"/>
      <c r="K107" s="118"/>
      <c r="L107" s="255" t="s">
        <v>180</v>
      </c>
      <c r="M107" s="255"/>
      <c r="N107" s="255"/>
      <c r="O107" s="255"/>
    </row>
    <row r="108" spans="1:15" ht="18.75" customHeight="1">
      <c r="A108" s="316"/>
      <c r="B108" s="297"/>
      <c r="C108" s="318" t="s">
        <v>60</v>
      </c>
      <c r="D108" s="297"/>
      <c r="E108" s="319"/>
      <c r="F108" s="250" t="s">
        <v>159</v>
      </c>
      <c r="G108" s="32" t="s">
        <v>3</v>
      </c>
      <c r="H108" s="134">
        <f>H106-B27</f>
        <v>20.864294159767088</v>
      </c>
      <c r="I108" s="117"/>
      <c r="J108" s="117"/>
      <c r="K108" s="117"/>
      <c r="L108" s="255" t="s">
        <v>181</v>
      </c>
      <c r="M108" s="264"/>
      <c r="N108" s="264"/>
      <c r="O108" s="255"/>
    </row>
    <row r="109" spans="1:15" ht="18.75" customHeight="1">
      <c r="A109" s="328"/>
      <c r="B109" s="329"/>
      <c r="C109" s="330" t="s">
        <v>60</v>
      </c>
      <c r="D109" s="331"/>
      <c r="E109" s="332"/>
      <c r="F109" s="251" t="s">
        <v>123</v>
      </c>
      <c r="G109" s="140" t="s">
        <v>3</v>
      </c>
      <c r="H109" s="141">
        <f>H108</f>
        <v>20.864294159767088</v>
      </c>
      <c r="I109" s="117"/>
      <c r="J109" s="117"/>
      <c r="K109" s="117"/>
      <c r="L109" s="255" t="s">
        <v>182</v>
      </c>
      <c r="M109" s="264"/>
      <c r="N109" s="264"/>
      <c r="O109" s="255"/>
    </row>
    <row r="110" spans="1:15" ht="18.75" customHeight="1">
      <c r="A110" s="321" t="s">
        <v>41</v>
      </c>
      <c r="B110" s="322"/>
      <c r="C110" s="333" t="s">
        <v>58</v>
      </c>
      <c r="D110" s="334"/>
      <c r="E110" s="335"/>
      <c r="F110" s="252" t="s">
        <v>10</v>
      </c>
      <c r="G110" s="107" t="s">
        <v>38</v>
      </c>
      <c r="H110" s="188">
        <v>1</v>
      </c>
      <c r="I110" s="320" t="s">
        <v>68</v>
      </c>
      <c r="J110" s="320"/>
      <c r="K110" s="117"/>
      <c r="L110" s="255"/>
      <c r="M110" s="264"/>
      <c r="N110" s="264"/>
      <c r="O110" s="255"/>
    </row>
    <row r="111" spans="1:15" ht="18.75" customHeight="1">
      <c r="A111" s="316" t="s">
        <v>191</v>
      </c>
      <c r="B111" s="319"/>
      <c r="C111" s="318" t="s">
        <v>59</v>
      </c>
      <c r="D111" s="297"/>
      <c r="E111" s="319"/>
      <c r="F111" s="215" t="s">
        <v>108</v>
      </c>
      <c r="G111" s="39" t="s">
        <v>38</v>
      </c>
      <c r="H111" s="189">
        <f>0.57-(0.21*H110)+(0.07*(H110^2))</f>
        <v>0.43</v>
      </c>
      <c r="I111" s="320" t="s">
        <v>68</v>
      </c>
      <c r="J111" s="320"/>
      <c r="K111" s="117"/>
      <c r="L111" s="255"/>
      <c r="M111" s="264"/>
      <c r="N111" s="264"/>
      <c r="O111" s="255"/>
    </row>
    <row r="112" spans="1:15" ht="18.75" customHeight="1">
      <c r="A112" s="327"/>
      <c r="B112" s="326"/>
      <c r="C112" s="325"/>
      <c r="D112" s="305"/>
      <c r="E112" s="326"/>
      <c r="F112" s="215" t="s">
        <v>8</v>
      </c>
      <c r="G112" s="39" t="s">
        <v>38</v>
      </c>
      <c r="H112" s="189">
        <f>SQRT(235/B7)</f>
        <v>0.81940745141142779</v>
      </c>
      <c r="I112" s="320" t="s">
        <v>56</v>
      </c>
      <c r="J112" s="320"/>
      <c r="K112" s="117"/>
      <c r="L112" s="255"/>
      <c r="M112" s="264"/>
      <c r="N112" s="264"/>
      <c r="O112" s="255"/>
    </row>
    <row r="113" spans="1:34" ht="18.75" customHeight="1">
      <c r="A113" s="327"/>
      <c r="B113" s="326"/>
      <c r="C113" s="325"/>
      <c r="D113" s="305"/>
      <c r="E113" s="326"/>
      <c r="F113" s="276"/>
      <c r="G113" s="32" t="s">
        <v>3</v>
      </c>
      <c r="H113" s="134">
        <f>D38</f>
        <v>49.5</v>
      </c>
      <c r="I113" s="320"/>
      <c r="J113" s="320"/>
      <c r="K113" s="117"/>
      <c r="L113" s="255"/>
      <c r="M113" s="264"/>
      <c r="N113" s="264"/>
      <c r="O113" s="255"/>
    </row>
    <row r="114" spans="1:34" ht="18.75" customHeight="1">
      <c r="A114" s="327"/>
      <c r="B114" s="326"/>
      <c r="C114" s="318" t="s">
        <v>37</v>
      </c>
      <c r="D114" s="297"/>
      <c r="E114" s="319"/>
      <c r="F114" s="276"/>
      <c r="G114" s="39" t="s">
        <v>38</v>
      </c>
      <c r="H114" s="187">
        <f>(H113/G6)/(28.4*H112*SQRT(H111))</f>
        <v>3.2437899366222394</v>
      </c>
      <c r="I114" s="320" t="s">
        <v>56</v>
      </c>
      <c r="J114" s="320"/>
      <c r="K114" s="109"/>
      <c r="L114" s="255"/>
      <c r="M114" s="255"/>
      <c r="N114" s="255"/>
      <c r="O114" s="257"/>
    </row>
    <row r="115" spans="1:34" ht="18.75" customHeight="1">
      <c r="A115" s="316"/>
      <c r="B115" s="297"/>
      <c r="C115" s="318" t="s">
        <v>39</v>
      </c>
      <c r="D115" s="297"/>
      <c r="E115" s="319"/>
      <c r="F115" s="250" t="s">
        <v>9</v>
      </c>
      <c r="G115" s="39" t="s">
        <v>38</v>
      </c>
      <c r="H115" s="190">
        <f>IF(H114&gt;0.748,(H114-0.188)/POWER(H114,2),1)</f>
        <v>0.29041433667823913</v>
      </c>
      <c r="I115" s="320" t="s">
        <v>56</v>
      </c>
      <c r="J115" s="320"/>
      <c r="K115" s="119"/>
      <c r="L115" s="255"/>
      <c r="M115" s="255"/>
      <c r="N115" s="255"/>
      <c r="O115" s="257"/>
    </row>
    <row r="116" spans="1:34" ht="18.75" customHeight="1">
      <c r="A116" s="327"/>
      <c r="B116" s="326"/>
      <c r="C116" s="318" t="s">
        <v>40</v>
      </c>
      <c r="D116" s="297"/>
      <c r="E116" s="319"/>
      <c r="F116" s="215" t="s">
        <v>21</v>
      </c>
      <c r="G116" s="32" t="s">
        <v>3</v>
      </c>
      <c r="H116" s="139">
        <f>H115*H113</f>
        <v>14.375509665572837</v>
      </c>
      <c r="I116" s="320" t="s">
        <v>68</v>
      </c>
      <c r="J116" s="320"/>
      <c r="K116" s="119"/>
      <c r="L116"/>
      <c r="M116" s="255"/>
      <c r="N116" s="255"/>
      <c r="O116" s="257"/>
    </row>
    <row r="117" spans="1:34" ht="18.75" customHeight="1">
      <c r="A117" s="327"/>
      <c r="B117" s="326"/>
      <c r="C117" s="318" t="s">
        <v>60</v>
      </c>
      <c r="D117" s="297"/>
      <c r="E117" s="319"/>
      <c r="F117" s="215" t="s">
        <v>156</v>
      </c>
      <c r="G117" s="32" t="s">
        <v>3</v>
      </c>
      <c r="H117" s="139">
        <f>H116+B28</f>
        <v>14.375509665572837</v>
      </c>
      <c r="I117" s="263"/>
      <c r="J117" s="263"/>
      <c r="K117" s="119"/>
      <c r="L117" s="255" t="s">
        <v>183</v>
      </c>
      <c r="M117" s="255"/>
      <c r="N117" s="255"/>
      <c r="O117" s="257"/>
    </row>
    <row r="118" spans="1:34" ht="18.75" customHeight="1" thickBot="1">
      <c r="A118" s="336"/>
      <c r="B118" s="337"/>
      <c r="C118" s="338" t="s">
        <v>60</v>
      </c>
      <c r="D118" s="337"/>
      <c r="E118" s="339"/>
      <c r="F118" s="253" t="s">
        <v>196</v>
      </c>
      <c r="G118" s="105" t="s">
        <v>3</v>
      </c>
      <c r="H118" s="135">
        <f>H117-B27</f>
        <v>14.375509665572837</v>
      </c>
      <c r="I118" s="5"/>
      <c r="J118" s="5"/>
      <c r="K118" s="117"/>
      <c r="L118" s="255" t="s">
        <v>184</v>
      </c>
      <c r="M118" s="217"/>
      <c r="N118" s="217"/>
      <c r="O118" s="257"/>
    </row>
    <row r="119" spans="1:34" ht="18.75" customHeight="1" thickBot="1">
      <c r="A119" s="278"/>
      <c r="B119" s="277"/>
      <c r="C119" s="277"/>
      <c r="D119" s="277"/>
      <c r="E119" s="277"/>
      <c r="F119" s="250"/>
      <c r="G119" s="277"/>
      <c r="H119" s="117"/>
      <c r="I119" s="8"/>
      <c r="J119" s="5"/>
      <c r="K119" s="117"/>
      <c r="L119" s="255"/>
      <c r="M119" s="217"/>
      <c r="N119" s="217"/>
      <c r="O119" s="257"/>
      <c r="P119" s="175"/>
      <c r="Q119" s="175"/>
      <c r="R119" s="175"/>
      <c r="S119" s="175"/>
      <c r="T119" s="175"/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  <c r="AF119" s="175"/>
      <c r="AG119" s="175"/>
      <c r="AH119" s="175"/>
    </row>
    <row r="120" spans="1:34" ht="18.75" customHeight="1" thickBot="1">
      <c r="A120" s="281" t="s">
        <v>189</v>
      </c>
      <c r="B120" s="273"/>
      <c r="C120" s="273"/>
      <c r="D120" s="273"/>
      <c r="E120" s="273"/>
      <c r="F120" s="274"/>
      <c r="G120" s="271"/>
      <c r="H120" s="272"/>
      <c r="I120" s="5"/>
      <c r="J120" s="5"/>
      <c r="K120" s="117"/>
      <c r="L120" s="255"/>
      <c r="M120" s="217"/>
      <c r="N120" s="217"/>
      <c r="O120" s="257"/>
      <c r="P120" s="175"/>
      <c r="Q120" s="175"/>
      <c r="R120" s="175"/>
      <c r="S120" s="175"/>
      <c r="T120" s="175"/>
      <c r="U120" s="175"/>
      <c r="V120" s="175"/>
      <c r="W120" s="175"/>
    </row>
    <row r="121" spans="1:34" ht="18.75" customHeight="1">
      <c r="A121" s="293" t="s">
        <v>50</v>
      </c>
      <c r="B121" s="294"/>
      <c r="C121" s="318" t="s">
        <v>42</v>
      </c>
      <c r="D121" s="297"/>
      <c r="E121" s="319"/>
      <c r="F121" s="250" t="s">
        <v>16</v>
      </c>
      <c r="G121" s="270" t="s">
        <v>52</v>
      </c>
      <c r="H121" s="134">
        <f>((H108+H109+(2*H118)+(2*B29))*G6)</f>
        <v>70.479607650679853</v>
      </c>
      <c r="I121" s="117"/>
      <c r="J121" s="117"/>
      <c r="K121" s="117"/>
      <c r="L121" s="255" t="s">
        <v>194</v>
      </c>
      <c r="M121" s="265"/>
      <c r="N121" s="250"/>
      <c r="O121" s="250"/>
      <c r="P121" s="104"/>
      <c r="Q121" s="2"/>
      <c r="R121" s="2"/>
      <c r="S121" s="2"/>
    </row>
    <row r="122" spans="1:34" ht="18.75" customHeight="1">
      <c r="A122" s="293" t="s">
        <v>43</v>
      </c>
      <c r="B122" s="294"/>
      <c r="C122" s="318" t="s">
        <v>44</v>
      </c>
      <c r="D122" s="297"/>
      <c r="E122" s="319"/>
      <c r="F122" s="250" t="s">
        <v>109</v>
      </c>
      <c r="G122" s="32" t="s">
        <v>3</v>
      </c>
      <c r="H122" s="134">
        <f>(G6/H121)*((2*B28*B29)+((2*H118)*((0.5*H118)+B27)))</f>
        <v>2.9321286686104964</v>
      </c>
      <c r="I122" s="117"/>
      <c r="J122" s="254"/>
      <c r="K122" s="117"/>
      <c r="L122" s="260" t="s">
        <v>195</v>
      </c>
      <c r="M122" s="265"/>
      <c r="N122" s="217"/>
      <c r="O122" s="266"/>
      <c r="P122" s="2"/>
      <c r="Q122" s="2"/>
      <c r="R122" s="2"/>
      <c r="S122" s="2"/>
    </row>
    <row r="123" spans="1:34" ht="19.5" thickBot="1">
      <c r="A123" s="336"/>
      <c r="B123" s="337"/>
      <c r="C123" s="338" t="s">
        <v>45</v>
      </c>
      <c r="D123" s="337"/>
      <c r="E123" s="339"/>
      <c r="F123" s="253" t="s">
        <v>110</v>
      </c>
      <c r="G123" s="105" t="s">
        <v>3</v>
      </c>
      <c r="H123" s="135">
        <f>H122-E44</f>
        <v>-9.4428713313895045</v>
      </c>
      <c r="I123" s="117"/>
      <c r="J123" s="117"/>
      <c r="K123" s="117"/>
      <c r="L123" s="255" t="s">
        <v>185</v>
      </c>
      <c r="M123" s="265"/>
      <c r="N123" s="217"/>
      <c r="O123" s="217"/>
      <c r="P123" s="2"/>
      <c r="Q123" s="2"/>
      <c r="R123" s="2"/>
      <c r="S123" s="2"/>
    </row>
    <row r="124" spans="1:34">
      <c r="A124" s="104"/>
      <c r="B124" s="104"/>
      <c r="C124" s="104"/>
      <c r="D124" s="104"/>
      <c r="E124" s="104"/>
      <c r="F124" s="2"/>
      <c r="G124" s="2"/>
      <c r="H124" s="2"/>
      <c r="I124" s="2"/>
      <c r="J124" s="2"/>
      <c r="K124" s="2"/>
      <c r="L124" s="257"/>
      <c r="M124" s="255"/>
      <c r="N124" s="257"/>
      <c r="O124" s="257"/>
    </row>
    <row r="125" spans="1:34">
      <c r="A125" s="104"/>
      <c r="B125" s="104"/>
      <c r="C125" s="104"/>
      <c r="D125" s="104"/>
      <c r="E125" s="104"/>
      <c r="F125" s="6"/>
      <c r="G125" s="6"/>
      <c r="H125" s="53"/>
      <c r="I125" s="2"/>
      <c r="J125" s="108"/>
      <c r="K125" s="108"/>
      <c r="L125" s="5"/>
      <c r="M125" s="5"/>
      <c r="N125" s="5"/>
      <c r="O125" s="5"/>
      <c r="P125" s="5"/>
      <c r="Q125" s="5"/>
    </row>
    <row r="126" spans="1:34">
      <c r="A126" s="104"/>
      <c r="B126" s="104"/>
      <c r="C126" s="104"/>
      <c r="D126" s="104"/>
      <c r="E126" s="104"/>
      <c r="K126" s="153"/>
      <c r="N126" s="5"/>
      <c r="O126" s="5"/>
      <c r="P126" s="5"/>
      <c r="Q126" s="5"/>
    </row>
    <row r="127" spans="1:34">
      <c r="A127" s="104"/>
      <c r="B127" s="104"/>
      <c r="C127" s="104"/>
      <c r="D127" s="104"/>
      <c r="E127" s="104"/>
      <c r="N127" s="5"/>
      <c r="O127" s="5"/>
      <c r="P127" s="5"/>
      <c r="Q127" s="5"/>
    </row>
    <row r="128" spans="1:34">
      <c r="A128" s="104"/>
      <c r="B128" s="104"/>
      <c r="C128" s="104"/>
      <c r="D128" s="104"/>
      <c r="E128" s="104"/>
      <c r="N128" s="5"/>
      <c r="O128" s="5"/>
      <c r="P128" s="5"/>
      <c r="Q128" s="5"/>
    </row>
    <row r="129" spans="1:17">
      <c r="A129" s="5"/>
      <c r="B129" s="5"/>
      <c r="C129" s="5"/>
      <c r="D129" s="5"/>
      <c r="E129" s="5"/>
      <c r="H129" s="53"/>
      <c r="I129" s="53"/>
      <c r="J129" s="53"/>
      <c r="K129" s="53"/>
      <c r="N129" s="5"/>
      <c r="O129" s="5"/>
      <c r="P129" s="5"/>
      <c r="Q129" s="5"/>
    </row>
    <row r="130" spans="1:17">
      <c r="A130" s="8"/>
      <c r="B130" s="10"/>
      <c r="C130" s="10"/>
      <c r="D130" s="5"/>
      <c r="E130" s="155"/>
      <c r="F130" s="308"/>
      <c r="G130" s="308"/>
      <c r="H130" s="155"/>
      <c r="I130" s="8"/>
      <c r="J130" s="5"/>
      <c r="K130" s="5"/>
      <c r="L130" s="10"/>
      <c r="M130" s="10"/>
      <c r="N130" s="5"/>
      <c r="O130" s="5"/>
      <c r="P130" s="5"/>
      <c r="Q130" s="5"/>
    </row>
  </sheetData>
  <mergeCells count="82">
    <mergeCell ref="F130:G130"/>
    <mergeCell ref="A121:B121"/>
    <mergeCell ref="C121:E121"/>
    <mergeCell ref="A122:B122"/>
    <mergeCell ref="C122:E122"/>
    <mergeCell ref="A123:B123"/>
    <mergeCell ref="C123:E123"/>
    <mergeCell ref="A118:B118"/>
    <mergeCell ref="C118:E118"/>
    <mergeCell ref="A114:B114"/>
    <mergeCell ref="C114:E114"/>
    <mergeCell ref="I114:J114"/>
    <mergeCell ref="A115:B115"/>
    <mergeCell ref="C115:E115"/>
    <mergeCell ref="I115:J115"/>
    <mergeCell ref="A116:B116"/>
    <mergeCell ref="C116:E116"/>
    <mergeCell ref="I116:J116"/>
    <mergeCell ref="A117:B117"/>
    <mergeCell ref="C117:E117"/>
    <mergeCell ref="A112:B112"/>
    <mergeCell ref="C112:E112"/>
    <mergeCell ref="I112:J112"/>
    <mergeCell ref="A113:B113"/>
    <mergeCell ref="C113:E113"/>
    <mergeCell ref="I113:J113"/>
    <mergeCell ref="A111:B111"/>
    <mergeCell ref="C111:E111"/>
    <mergeCell ref="I111:J111"/>
    <mergeCell ref="A106:B106"/>
    <mergeCell ref="C106:E106"/>
    <mergeCell ref="A107:B107"/>
    <mergeCell ref="C107:E107"/>
    <mergeCell ref="A108:B108"/>
    <mergeCell ref="C108:E108"/>
    <mergeCell ref="A109:B109"/>
    <mergeCell ref="C109:E109"/>
    <mergeCell ref="A110:B110"/>
    <mergeCell ref="C110:E110"/>
    <mergeCell ref="I110:J110"/>
    <mergeCell ref="A105:B105"/>
    <mergeCell ref="C105:E105"/>
    <mergeCell ref="A101:B101"/>
    <mergeCell ref="C101:E101"/>
    <mergeCell ref="I101:J101"/>
    <mergeCell ref="A102:B102"/>
    <mergeCell ref="C102:E102"/>
    <mergeCell ref="I102:J102"/>
    <mergeCell ref="A103:B103"/>
    <mergeCell ref="C103:E103"/>
    <mergeCell ref="I103:J103"/>
    <mergeCell ref="A104:B104"/>
    <mergeCell ref="C104:E104"/>
    <mergeCell ref="A99:B99"/>
    <mergeCell ref="C99:E99"/>
    <mergeCell ref="I99:J99"/>
    <mergeCell ref="A100:B100"/>
    <mergeCell ref="C100:E100"/>
    <mergeCell ref="I100:J100"/>
    <mergeCell ref="A97:B97"/>
    <mergeCell ref="C97:E97"/>
    <mergeCell ref="I97:J97"/>
    <mergeCell ref="A98:B98"/>
    <mergeCell ref="C98:E98"/>
    <mergeCell ref="I98:J98"/>
    <mergeCell ref="A96:B96"/>
    <mergeCell ref="C96:E96"/>
    <mergeCell ref="I96:J96"/>
    <mergeCell ref="A95:B95"/>
    <mergeCell ref="C95:E95"/>
    <mergeCell ref="I95:J95"/>
    <mergeCell ref="J4:L4"/>
    <mergeCell ref="J5:L5"/>
    <mergeCell ref="J6:L6"/>
    <mergeCell ref="J8:L8"/>
    <mergeCell ref="A14:C14"/>
    <mergeCell ref="I93:K93"/>
    <mergeCell ref="A15:B15"/>
    <mergeCell ref="A16:B16"/>
    <mergeCell ref="A22:B22"/>
    <mergeCell ref="F22:I23"/>
    <mergeCell ref="A23:B23"/>
  </mergeCells>
  <conditionalFormatting sqref="L15">
    <cfRule type="cellIs" dxfId="24" priority="24" operator="equal">
      <formula>"Lip moet niet meegenomen worden in berekening"</formula>
    </cfRule>
    <cfRule type="cellIs" dxfId="23" priority="25" operator="equal">
      <formula>"Lip moet mee genomen worden in berekening"</formula>
    </cfRule>
  </conditionalFormatting>
  <conditionalFormatting sqref="F19 F13 F15:F17">
    <cfRule type="cellIs" dxfId="22" priority="23" operator="equal">
      <formula>"Voldoet"</formula>
    </cfRule>
  </conditionalFormatting>
  <conditionalFormatting sqref="F17 H17 F19">
    <cfRule type="cellIs" dxfId="21" priority="22" operator="equal">
      <formula>"Voldoet niet"</formula>
    </cfRule>
  </conditionalFormatting>
  <conditionalFormatting sqref="F23:F24 G25:K25">
    <cfRule type="cellIs" dxfId="20" priority="20" operator="equal">
      <formula>"Invloed afrondingsstralen mag worden genegeerd"</formula>
    </cfRule>
    <cfRule type="cellIs" dxfId="19" priority="21" operator="equal">
      <formula>"Invloed afrondingsstralen mag niet worden genegeerd"</formula>
    </cfRule>
  </conditionalFormatting>
  <conditionalFormatting sqref="F23:I24">
    <cfRule type="cellIs" dxfId="18" priority="18" operator="equal">
      <formula>"Invl afrondingsstralen mag worden genegeerd"</formula>
    </cfRule>
    <cfRule type="cellIs" dxfId="17" priority="19" operator="equal">
      <formula>"Invl. Afrondingsstralen mag niet worden genegeerd"</formula>
    </cfRule>
  </conditionalFormatting>
  <conditionalFormatting sqref="H96:H97">
    <cfRule type="containsText" dxfId="16" priority="17" operator="containsText" text="Spanningsverhouding niet mogelijk">
      <formula>NOT(ISERROR(SEARCH("Spanningsverhouding niet mogelijk",H96)))</formula>
    </cfRule>
  </conditionalFormatting>
  <conditionalFormatting sqref="F22">
    <cfRule type="cellIs" dxfId="15" priority="16" operator="equal">
      <formula>"Invloed afrondingsstralen mag worden genegeerd"</formula>
    </cfRule>
  </conditionalFormatting>
  <conditionalFormatting sqref="F22">
    <cfRule type="cellIs" dxfId="14" priority="15" operator="equal">
      <formula>"Invloeg afrondingsstralen mag niet worden genegeerd"</formula>
    </cfRule>
  </conditionalFormatting>
  <conditionalFormatting sqref="F22:I22">
    <cfRule type="cellIs" dxfId="13" priority="12" operator="equal">
      <formula>"Invl afrondingsstralen mag niet worden genegeerd"</formula>
    </cfRule>
    <cfRule type="cellIs" dxfId="12" priority="13" operator="equal">
      <formula>"Invl. Afrondingsstralen mag niet worden genegeerd"</formula>
    </cfRule>
    <cfRule type="cellIs" dxfId="11" priority="14" operator="equal">
      <formula>"Invl. Afrondingsstralen mag worden genegeerd"</formula>
    </cfRule>
  </conditionalFormatting>
  <conditionalFormatting sqref="J4:L4 K3:M3">
    <cfRule type="cellIs" dxfId="10" priority="10" operator="equal">
      <formula>"Hoogte is kleiner dan 2x de dikte"</formula>
    </cfRule>
    <cfRule type="cellIs" dxfId="9" priority="11" operator="equal">
      <formula>"Hoogte is ten minste gelijk aan 2x de dikte"</formula>
    </cfRule>
  </conditionalFormatting>
  <conditionalFormatting sqref="J5:L5 M4">
    <cfRule type="cellIs" dxfId="8" priority="8" operator="equal">
      <formula>"Breedte is kleiner dan 2x de dikte"</formula>
    </cfRule>
    <cfRule type="cellIs" dxfId="7" priority="9" operator="equal">
      <formula>"Breedte is ten minste gelijk aan 2x de dikte"</formula>
    </cfRule>
  </conditionalFormatting>
  <conditionalFormatting sqref="M4 K5:M5">
    <cfRule type="cellIs" dxfId="6" priority="6" operator="equal">
      <formula>"Lip is groter dan de halve profielhoogte"</formula>
    </cfRule>
    <cfRule type="cellIs" dxfId="5" priority="7" operator="equal">
      <formula>"Lip is kleiner of gelijk aan halve profielhoogte"</formula>
    </cfRule>
  </conditionalFormatting>
  <conditionalFormatting sqref="M5 J6:M6">
    <cfRule type="cellIs" dxfId="4" priority="4" operator="equal">
      <formula>"Enkele profielmaten zijn negatief"</formula>
    </cfRule>
    <cfRule type="cellIs" dxfId="3" priority="5" operator="equal">
      <formula>"Alle effectieve profielmaten zijn positief"</formula>
    </cfRule>
  </conditionalFormatting>
  <conditionalFormatting sqref="K7:M7 J8:M8">
    <cfRule type="cellIs" dxfId="2" priority="2" operator="equal">
      <formula>"Profiel fysisch niet mogelijk"</formula>
    </cfRule>
    <cfRule type="cellIs" dxfId="1" priority="3" operator="equal">
      <formula>"Profiel fysisch mogelijk"</formula>
    </cfRule>
  </conditionalFormatting>
  <conditionalFormatting sqref="F13 F15:F16">
    <cfRule type="cellIs" dxfId="0" priority="1" stopIfTrue="1" operator="equal">
      <formula>"Voldoet niet"</formula>
    </cfRule>
  </conditionalFormatting>
  <pageMargins left="0.19685039370078741" right="0.19685039370078741" top="0.31496062992125984" bottom="0.31496062992125984" header="0.31496062992125984" footer="0.31496062992125984"/>
  <pageSetup paperSize="9" scale="68" orientation="landscape" r:id="rId1"/>
  <rowBreaks count="1" manualBreakCount="1">
    <brk id="109" max="13" man="1"/>
  </rowBreaks>
  <ignoredErrors>
    <ignoredError sqref="H108" formula="1"/>
  </ignoredErrors>
  <legacyDrawing r:id="rId2"/>
  <oleObjects>
    <oleObject progId="AutoCAD.Drawing.16" shapeId="7236" r:id="rId3"/>
    <oleObject progId="Equation.3" shapeId="7241" r:id="rId4"/>
    <oleObject progId="Equation.3" shapeId="7242" r:id="rId5"/>
    <oleObject progId="Equation.3" shapeId="7244" r:id="rId6"/>
    <oleObject progId="Equation.3" shapeId="7245" r:id="rId7"/>
    <oleObject progId="Equation.3" shapeId="7246" r:id="rId8"/>
    <oleObject progId="Equation.3" shapeId="7247" r:id="rId9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6</vt:i4>
      </vt:variant>
    </vt:vector>
  </HeadingPairs>
  <TitlesOfParts>
    <vt:vector size="9" baseType="lpstr">
      <vt:lpstr>Input &amp; output</vt:lpstr>
      <vt:lpstr>Profieleigenschappen</vt:lpstr>
      <vt:lpstr>Berekening</vt:lpstr>
      <vt:lpstr>Berekening!Afdrukbereik</vt:lpstr>
      <vt:lpstr>'Input &amp; output'!Afdrukbereik</vt:lpstr>
      <vt:lpstr>Profieleigenschappen!Afdrukbereik</vt:lpstr>
      <vt:lpstr>Berekening!Afdruktitels</vt:lpstr>
      <vt:lpstr>'Input &amp; output'!Afdruktitels</vt:lpstr>
      <vt:lpstr>Profieleigenschappen!Afdruktitels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2009-09-06T13:59:46Z</cp:lastPrinted>
  <dcterms:created xsi:type="dcterms:W3CDTF">2009-01-30T09:46:19Z</dcterms:created>
  <dcterms:modified xsi:type="dcterms:W3CDTF">2009-09-27T07:38:52Z</dcterms:modified>
</cp:coreProperties>
</file>